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Lucas\Desktop\OVCRI\January 15th 2025\"/>
    </mc:Choice>
  </mc:AlternateContent>
  <xr:revisionPtr revIDLastSave="0" documentId="13_ncr:9_{AF75BB52-44FC-4EDF-BFBE-4CD03A720C45}" xr6:coauthVersionLast="47" xr6:coauthVersionMax="47" xr10:uidLastSave="{00000000-0000-0000-0000-000000000000}"/>
  <bookViews>
    <workbookView xWindow="-108" yWindow="-108" windowWidth="23256" windowHeight="12456" xr2:uid="{6F1EF476-5673-48B3-B239-F929DF457188}"/>
  </bookViews>
  <sheets>
    <sheet name="all_federal_opps" sheetId="1" r:id="rId1"/>
  </sheets>
  <calcPr calcId="0"/>
</workbook>
</file>

<file path=xl/calcChain.xml><?xml version="1.0" encoding="utf-8"?>
<calcChain xmlns="http://schemas.openxmlformats.org/spreadsheetml/2006/main">
  <c r="A808" i="1" l="1"/>
  <c r="A194" i="1"/>
  <c r="A888" i="1"/>
  <c r="A680" i="1"/>
  <c r="A634" i="1"/>
  <c r="A807" i="1"/>
  <c r="A662" i="1"/>
  <c r="A357" i="1"/>
  <c r="A806" i="1"/>
  <c r="A848" i="1"/>
  <c r="A847" i="1"/>
  <c r="A912" i="1"/>
  <c r="A911" i="1"/>
  <c r="A910" i="1"/>
  <c r="A890" i="1"/>
  <c r="A889" i="1"/>
  <c r="A18" i="1"/>
  <c r="A805" i="1"/>
  <c r="A661" i="1"/>
  <c r="A207" i="1"/>
  <c r="A882" i="1"/>
  <c r="A206" i="1"/>
  <c r="A859" i="1"/>
  <c r="A881" i="1"/>
  <c r="A880" i="1"/>
  <c r="A909" i="1"/>
  <c r="A840" i="1"/>
  <c r="A85" i="1"/>
  <c r="A872" i="1"/>
  <c r="A839" i="1"/>
  <c r="A849" i="1"/>
  <c r="A846" i="1"/>
  <c r="A804" i="1"/>
  <c r="A803" i="1"/>
  <c r="A870" i="1"/>
  <c r="A838" i="1"/>
  <c r="A873" i="1"/>
  <c r="A837" i="1"/>
  <c r="A836" i="1"/>
  <c r="A819" i="1"/>
  <c r="A802" i="1"/>
  <c r="A686" i="1"/>
  <c r="A679" i="1"/>
  <c r="A887" i="1"/>
  <c r="A212" i="1"/>
  <c r="A939" i="1"/>
  <c r="A103" i="1"/>
  <c r="A102" i="1"/>
  <c r="A906" i="1"/>
  <c r="A205" i="1"/>
  <c r="A55" i="1"/>
  <c r="A217" i="1"/>
  <c r="A76" i="1"/>
  <c r="A886" i="1"/>
  <c r="A211" i="1"/>
  <c r="A835" i="1"/>
  <c r="A801" i="1"/>
  <c r="A834" i="1"/>
  <c r="A843" i="1"/>
  <c r="A833" i="1"/>
  <c r="A885" i="1"/>
  <c r="A908" i="1"/>
  <c r="A573" i="1"/>
  <c r="A862" i="1"/>
  <c r="A17" i="1"/>
  <c r="A16" i="1"/>
  <c r="A15" i="1"/>
  <c r="A14" i="1"/>
  <c r="A13" i="1"/>
  <c r="A832" i="1"/>
  <c r="A800" i="1"/>
  <c r="A884" i="1"/>
  <c r="A831" i="1"/>
  <c r="A799" i="1"/>
  <c r="A798" i="1"/>
  <c r="A797" i="1"/>
  <c r="A796" i="1"/>
  <c r="A795" i="1"/>
  <c r="A794" i="1"/>
  <c r="A793" i="1"/>
  <c r="A792" i="1"/>
  <c r="A791" i="1"/>
  <c r="A830" i="1"/>
  <c r="A56" i="1"/>
  <c r="A938" i="1"/>
  <c r="A883" i="1"/>
  <c r="A829" i="1"/>
  <c r="A790" i="1"/>
  <c r="A653" i="1"/>
  <c r="A824" i="1"/>
  <c r="A876" i="1"/>
  <c r="A572" i="1"/>
  <c r="A633" i="1"/>
  <c r="A632" i="1"/>
  <c r="A789" i="1"/>
  <c r="A788" i="1"/>
  <c r="A676" i="1"/>
  <c r="A671" i="1"/>
  <c r="A787" i="1"/>
  <c r="A842" i="1"/>
  <c r="A631" i="1"/>
  <c r="A49" i="1"/>
  <c r="A818" i="1"/>
  <c r="A786" i="1"/>
  <c r="A713" i="1"/>
  <c r="A57" i="1"/>
  <c r="A902" i="1"/>
  <c r="A226" i="1"/>
  <c r="A821" i="1"/>
  <c r="A58" i="1"/>
  <c r="A822" i="1"/>
  <c r="A322" i="1"/>
  <c r="A61" i="1"/>
  <c r="A828" i="1"/>
  <c r="A785" i="1"/>
  <c r="A63" i="1"/>
  <c r="A784" i="1"/>
  <c r="A664" i="1"/>
  <c r="A783" i="1"/>
  <c r="A782" i="1"/>
  <c r="A479" i="1"/>
  <c r="A630" i="1"/>
  <c r="A901" i="1"/>
  <c r="A79" i="1"/>
  <c r="A781" i="1"/>
  <c r="A780" i="1"/>
  <c r="A900" i="1"/>
  <c r="A899" i="1"/>
  <c r="A48" i="1"/>
  <c r="A898" i="1"/>
  <c r="A779" i="1"/>
  <c r="A897" i="1"/>
  <c r="A277" i="1"/>
  <c r="A896" i="1"/>
  <c r="A778" i="1"/>
  <c r="A12" i="1"/>
  <c r="A11" i="1"/>
  <c r="A10" i="1"/>
  <c r="A9" i="1"/>
  <c r="A8" i="1"/>
  <c r="A7" i="1"/>
  <c r="A639" i="1"/>
  <c r="A711" i="1"/>
  <c r="A482" i="1"/>
  <c r="A978" i="1"/>
  <c r="A6" i="1"/>
  <c r="A858" i="1"/>
  <c r="A861" i="1"/>
  <c r="A777" i="1"/>
  <c r="A356" i="1"/>
  <c r="A497" i="1"/>
  <c r="A650" i="1"/>
  <c r="A237" i="1"/>
  <c r="A379" i="1"/>
  <c r="A378" i="1"/>
  <c r="A692" i="1"/>
  <c r="A855" i="1"/>
  <c r="A481" i="1"/>
  <c r="A670" i="1"/>
  <c r="A853" i="1"/>
  <c r="A489" i="1"/>
  <c r="A476" i="1"/>
  <c r="A776" i="1"/>
  <c r="A775" i="1"/>
  <c r="A774" i="1"/>
  <c r="A895" i="1"/>
  <c r="A773" i="1"/>
  <c r="A60" i="1"/>
  <c r="A516" i="1"/>
  <c r="A515" i="1"/>
  <c r="A894" i="1"/>
  <c r="A468" i="1"/>
  <c r="A697" i="1"/>
  <c r="A772" i="1"/>
  <c r="A893" i="1"/>
  <c r="A771" i="1"/>
  <c r="A685" i="1"/>
  <c r="A684" i="1"/>
  <c r="A492" i="1"/>
  <c r="A546" i="1"/>
  <c r="A660" i="1"/>
  <c r="A525" i="1"/>
  <c r="A108" i="1"/>
  <c r="A659" i="1"/>
  <c r="A770" i="1"/>
  <c r="A655" i="1"/>
  <c r="A654" i="1"/>
  <c r="A704" i="1"/>
  <c r="A629" i="1"/>
  <c r="A683" i="1"/>
  <c r="A545" i="1"/>
  <c r="A321" i="1"/>
  <c r="A638" i="1"/>
  <c r="A637" i="1"/>
  <c r="A484" i="1"/>
  <c r="A628" i="1"/>
  <c r="A769" i="1"/>
  <c r="A768" i="1"/>
  <c r="A535" i="1"/>
  <c r="A534" i="1"/>
  <c r="A533" i="1"/>
  <c r="A767" i="1"/>
  <c r="A532" i="1"/>
  <c r="A712" i="1"/>
  <c r="A766" i="1"/>
  <c r="A691" i="1"/>
  <c r="A54" i="1"/>
  <c r="A765" i="1"/>
  <c r="A856" i="1"/>
  <c r="A764" i="1"/>
  <c r="A763" i="1"/>
  <c r="A236" i="1"/>
  <c r="A242" i="1"/>
  <c r="A45" i="1"/>
  <c r="A669" i="1"/>
  <c r="A762" i="1"/>
  <c r="A761" i="1"/>
  <c r="A760" i="1"/>
  <c r="A759" i="1"/>
  <c r="A758" i="1"/>
  <c r="A757" i="1"/>
  <c r="A756" i="1"/>
  <c r="A755" i="1"/>
  <c r="A696" i="1"/>
  <c r="A754" i="1"/>
  <c r="A753" i="1"/>
  <c r="A752" i="1"/>
  <c r="A44" i="1"/>
  <c r="A892" i="1"/>
  <c r="A474" i="1"/>
  <c r="A644" i="1"/>
  <c r="A643" i="1"/>
  <c r="A751" i="1"/>
  <c r="A666" i="1"/>
  <c r="A750" i="1"/>
  <c r="A749" i="1"/>
  <c r="A748" i="1"/>
  <c r="A747" i="1"/>
  <c r="A827" i="1"/>
  <c r="A945" i="1"/>
  <c r="A746" i="1"/>
  <c r="A745" i="1"/>
  <c r="A498" i="1"/>
  <c r="A940" i="1"/>
  <c r="A744" i="1"/>
  <c r="A743" i="1"/>
  <c r="A627" i="1"/>
  <c r="A642" i="1"/>
  <c r="A188" i="1"/>
  <c r="A742" i="1"/>
  <c r="A641" i="1"/>
  <c r="A741" i="1"/>
  <c r="A740" i="1"/>
  <c r="A658" i="1"/>
  <c r="A568" i="1"/>
  <c r="A334" i="1"/>
  <c r="A190" i="1"/>
  <c r="A235" i="1"/>
  <c r="A678" i="1"/>
  <c r="A4" i="1"/>
  <c r="A682" i="1"/>
  <c r="A739" i="1"/>
  <c r="A675" i="1"/>
  <c r="A703" i="1"/>
  <c r="A681" i="1"/>
  <c r="A687" i="1"/>
  <c r="A668" i="1"/>
  <c r="A720" i="1"/>
  <c r="A710" i="1"/>
  <c r="A695" i="1"/>
  <c r="A667" i="1"/>
  <c r="A77" i="1"/>
  <c r="A580" i="1"/>
  <c r="A576" i="1"/>
  <c r="A579" i="1"/>
  <c r="A595" i="1"/>
  <c r="A596" i="1"/>
  <c r="A578" i="1"/>
  <c r="A598" i="1"/>
  <c r="A582" i="1"/>
  <c r="A615" i="1"/>
  <c r="A614" i="1"/>
  <c r="A613" i="1"/>
  <c r="A612" i="1"/>
  <c r="A601" i="1"/>
  <c r="A611" i="1"/>
  <c r="A610" i="1"/>
  <c r="A609" i="1"/>
  <c r="A608" i="1"/>
  <c r="A607" i="1"/>
  <c r="A594" i="1"/>
  <c r="A606" i="1"/>
  <c r="A605" i="1"/>
  <c r="A738" i="1"/>
  <c r="A737" i="1"/>
  <c r="A604" i="1"/>
  <c r="A652" i="1"/>
  <c r="A736" i="1"/>
  <c r="A735" i="1"/>
  <c r="A734" i="1"/>
  <c r="A467" i="1"/>
  <c r="A674" i="1"/>
  <c r="A75" i="1"/>
  <c r="A665" i="1"/>
  <c r="A673" i="1"/>
  <c r="A385" i="1"/>
  <c r="A384" i="1"/>
  <c r="A383" i="1"/>
  <c r="A382" i="1"/>
  <c r="A651" i="1"/>
  <c r="A475" i="1"/>
  <c r="A707" i="1"/>
  <c r="A562" i="1"/>
  <c r="A245" i="1"/>
  <c r="A820" i="1"/>
  <c r="A73" i="1"/>
  <c r="A51" i="1"/>
  <c r="A719" i="1"/>
  <c r="A74" i="1"/>
  <c r="A733" i="1"/>
  <c r="A823" i="1"/>
  <c r="A672" i="1"/>
  <c r="A187" i="1"/>
  <c r="A636" i="1"/>
  <c r="A649" i="1"/>
  <c r="A478" i="1"/>
  <c r="A114" i="1"/>
  <c r="A577" i="1"/>
  <c r="A702" i="1"/>
  <c r="A701" i="1"/>
  <c r="A473" i="1"/>
  <c r="A472" i="1"/>
  <c r="A471" i="1"/>
  <c r="A470" i="1"/>
  <c r="A603" i="1"/>
  <c r="A71" i="1"/>
  <c r="A700" i="1"/>
  <c r="A715" i="1"/>
  <c r="A640" i="1"/>
  <c r="A469" i="1"/>
  <c r="A588" i="1"/>
  <c r="A593" i="1"/>
  <c r="A105" i="1"/>
  <c r="A567" i="1"/>
  <c r="A566" i="1"/>
  <c r="A590" i="1"/>
  <c r="A845" i="1"/>
  <c r="A591" i="1"/>
  <c r="A29" i="1"/>
  <c r="A27" i="1"/>
  <c r="A72" i="1"/>
  <c r="A635" i="1"/>
  <c r="A21" i="1"/>
  <c r="A20" i="1"/>
  <c r="A575" i="1"/>
  <c r="A543" i="1"/>
  <c r="A542" i="1"/>
  <c r="A732" i="1"/>
  <c r="A432" i="1"/>
  <c r="A709" i="1"/>
  <c r="A3" i="1"/>
  <c r="A905" i="1"/>
  <c r="A904" i="1"/>
  <c r="A851" i="1"/>
  <c r="A43" i="1"/>
  <c r="A723" i="1"/>
  <c r="A52" i="1"/>
  <c r="A599" i="1"/>
  <c r="A213" i="1"/>
  <c r="A690" i="1"/>
  <c r="A648" i="1"/>
  <c r="A84" i="1"/>
  <c r="A505" i="1"/>
  <c r="A504" i="1"/>
  <c r="A850" i="1"/>
  <c r="A94" i="1"/>
  <c r="A93" i="1"/>
  <c r="A809" i="1"/>
  <c r="A626" i="1"/>
  <c r="A731" i="1"/>
  <c r="A361" i="1"/>
  <c r="A558" i="1"/>
  <c r="A583" i="1"/>
  <c r="A538" i="1"/>
  <c r="A37" i="1"/>
  <c r="A198" i="1"/>
  <c r="A487" i="1"/>
  <c r="A493" i="1"/>
  <c r="A197" i="1"/>
  <c r="A90" i="1"/>
  <c r="A208" i="1"/>
  <c r="A477" i="1"/>
  <c r="A730" i="1"/>
  <c r="A729" i="1"/>
  <c r="A728" i="1"/>
  <c r="A88" i="1"/>
  <c r="A83" i="1"/>
  <c r="A210" i="1"/>
  <c r="A89" i="1"/>
  <c r="A483" i="1"/>
  <c r="A359" i="1"/>
  <c r="A19" i="1"/>
  <c r="A78" i="1"/>
  <c r="A59" i="1"/>
  <c r="A496" i="1"/>
  <c r="A619" i="1"/>
  <c r="A657" i="1"/>
  <c r="A927" i="1"/>
  <c r="A926" i="1"/>
  <c r="A925" i="1"/>
  <c r="A924" i="1"/>
  <c r="A923" i="1"/>
  <c r="A922" i="1"/>
  <c r="A921" i="1"/>
  <c r="A920" i="1"/>
  <c r="A919" i="1"/>
  <c r="A918" i="1"/>
  <c r="A917" i="1"/>
  <c r="A495" i="1"/>
  <c r="A22" i="1"/>
  <c r="A625" i="1"/>
  <c r="A514" i="1"/>
  <c r="A513" i="1"/>
  <c r="A512" i="1"/>
  <c r="A511" i="1"/>
  <c r="A510" i="1"/>
  <c r="A209" i="1"/>
  <c r="A509" i="1"/>
  <c r="A645" i="1"/>
  <c r="A81" i="1"/>
  <c r="A503" i="1"/>
  <c r="A586" i="1"/>
  <c r="A491" i="1"/>
  <c r="A555" i="1"/>
  <c r="A554" i="1"/>
  <c r="A810" i="1"/>
  <c r="A82" i="1"/>
  <c r="A298" i="1"/>
  <c r="A589" i="1"/>
  <c r="A31" i="1"/>
  <c r="A26" i="1"/>
  <c r="A937" i="1"/>
  <c r="A569" i="1"/>
  <c r="A25" i="1"/>
  <c r="A119" i="1"/>
  <c r="A488" i="1"/>
  <c r="A435" i="1"/>
  <c r="A434" i="1"/>
  <c r="A70" i="1"/>
  <c r="A117" i="1"/>
  <c r="A116" i="1"/>
  <c r="A115" i="1"/>
  <c r="A518" i="1"/>
  <c r="A486" i="1"/>
  <c r="A24" i="1"/>
  <c r="A647" i="1"/>
  <c r="A621" i="1"/>
  <c r="A92" i="1"/>
  <c r="A913" i="1"/>
  <c r="A266" i="1"/>
  <c r="A335" i="1"/>
  <c r="A436" i="1"/>
  <c r="A47" i="1"/>
  <c r="A345" i="1"/>
  <c r="A344" i="1"/>
  <c r="A23" i="1"/>
  <c r="A646" i="1"/>
  <c r="A265" i="1"/>
  <c r="A264" i="1"/>
  <c r="A263" i="1"/>
  <c r="A262" i="1"/>
  <c r="A261" i="1"/>
  <c r="A260" i="1"/>
  <c r="A259" i="1"/>
  <c r="A258" i="1"/>
  <c r="A257" i="1"/>
  <c r="A256" i="1"/>
  <c r="A255" i="1"/>
  <c r="A5" i="1"/>
  <c r="A826" i="1"/>
  <c r="A438" i="1"/>
  <c r="A490" i="1"/>
  <c r="A87" i="1"/>
  <c r="A541" i="1"/>
  <c r="A540" i="1"/>
  <c r="A811" i="1"/>
  <c r="A346" i="1"/>
  <c r="A30" i="1"/>
  <c r="A40" i="1"/>
  <c r="A183" i="1"/>
  <c r="A330" i="1"/>
  <c r="A656" i="1"/>
  <c r="A677" i="1"/>
  <c r="A812" i="1"/>
  <c r="A560" i="1"/>
  <c r="A288" i="1"/>
  <c r="A69" i="1"/>
  <c r="A814" i="1"/>
  <c r="A289" i="1"/>
  <c r="A663" i="1"/>
  <c r="A587" i="1"/>
  <c r="A419" i="1"/>
  <c r="A351" i="1"/>
  <c r="A517" i="1"/>
  <c r="A182" i="1"/>
  <c r="A694" i="1"/>
  <c r="A287" i="1"/>
  <c r="A352" i="1"/>
  <c r="A531" i="1"/>
  <c r="A138" i="1"/>
  <c r="A137" i="1"/>
  <c r="A136" i="1"/>
  <c r="A135" i="1"/>
  <c r="A134" i="1"/>
  <c r="A133" i="1"/>
  <c r="A132" i="1"/>
  <c r="A524" i="1"/>
  <c r="A196" i="1"/>
  <c r="A181" i="1"/>
  <c r="A297" i="1"/>
  <c r="A386" i="1"/>
  <c r="A192" i="1"/>
  <c r="A104" i="1"/>
  <c r="A494" i="1"/>
  <c r="A153" i="1"/>
  <c r="A570" i="1"/>
  <c r="A592" i="1"/>
  <c r="A699" i="1"/>
  <c r="A294" i="1"/>
  <c r="A915" i="1"/>
  <c r="A325" i="1"/>
  <c r="A429" i="1"/>
  <c r="A339" i="1"/>
  <c r="A166" i="1"/>
  <c r="A933" i="1"/>
  <c r="A279" i="1"/>
  <c r="A916" i="1"/>
  <c r="A358" i="1"/>
  <c r="A366" i="1"/>
  <c r="A365" i="1"/>
  <c r="A39" i="1"/>
  <c r="A98" i="1"/>
  <c r="A364" i="1"/>
  <c r="A363" i="1"/>
  <c r="A689" i="1"/>
  <c r="A501" i="1"/>
  <c r="A523" i="1"/>
  <c r="A500" i="1"/>
  <c r="A499" i="1"/>
  <c r="A314" i="1"/>
  <c r="A185" i="1"/>
  <c r="A254" i="1"/>
  <c r="A139" i="1"/>
  <c r="A32" i="1"/>
  <c r="A348" i="1"/>
  <c r="A347" i="1"/>
  <c r="A620" i="1"/>
  <c r="A446" i="1"/>
  <c r="A99" i="1"/>
  <c r="A448" i="1"/>
  <c r="A574" i="1"/>
  <c r="A931" i="1"/>
  <c r="A930" i="1"/>
  <c r="A929" i="1"/>
  <c r="A928" i="1"/>
  <c r="A485" i="1"/>
  <c r="A131" i="1"/>
  <c r="A130" i="1"/>
  <c r="A129" i="1"/>
  <c r="A180" i="1"/>
  <c r="A154" i="1"/>
  <c r="A28" i="1"/>
  <c r="A34" i="1"/>
  <c r="A559" i="1"/>
  <c r="A552" i="1"/>
  <c r="A551" i="1"/>
  <c r="A522" i="1"/>
  <c r="A597" i="1"/>
  <c r="A228" i="1"/>
  <c r="A220" i="1"/>
  <c r="A123" i="1"/>
  <c r="A227" i="1"/>
  <c r="A239" i="1"/>
  <c r="A218" i="1"/>
  <c r="A874" i="1"/>
  <c r="A179" i="1"/>
  <c r="A178" i="1"/>
  <c r="A539" i="1"/>
  <c r="A418" i="1"/>
  <c r="A427" i="1"/>
  <c r="A891" i="1"/>
  <c r="A421" i="1"/>
  <c r="A622" i="1"/>
  <c r="A177" i="1"/>
  <c r="A284" i="1"/>
  <c r="A451" i="1"/>
  <c r="A450" i="1"/>
  <c r="A449" i="1"/>
  <c r="A617" i="1"/>
  <c r="A246" i="1"/>
  <c r="A693" i="1"/>
  <c r="A971" i="1"/>
  <c r="A368" i="1"/>
  <c r="A600" i="1"/>
  <c r="A35" i="1"/>
  <c r="A42" i="1"/>
  <c r="A624" i="1"/>
  <c r="A306" i="1"/>
  <c r="A708" i="1"/>
  <c r="A528" i="1"/>
  <c r="A122" i="1"/>
  <c r="A121" i="1"/>
  <c r="A120" i="1"/>
  <c r="A165" i="1"/>
  <c r="A391" i="1"/>
  <c r="A64" i="1"/>
  <c r="A164" i="1"/>
  <c r="A537" i="1"/>
  <c r="A536" i="1"/>
  <c r="A163" i="1"/>
  <c r="A312" i="1"/>
  <c r="A390" i="1"/>
  <c r="A389" i="1"/>
  <c r="A388" i="1"/>
  <c r="A453" i="1"/>
  <c r="A387" i="1"/>
  <c r="A502" i="1"/>
  <c r="A349" i="1"/>
  <c r="A302" i="1"/>
  <c r="A866" i="1"/>
  <c r="A865" i="1"/>
  <c r="A396" i="1"/>
  <c r="A395" i="1"/>
  <c r="A394" i="1"/>
  <c r="A393" i="1"/>
  <c r="A392" i="1"/>
  <c r="A698" i="1"/>
  <c r="A310" i="1"/>
  <c r="A340" i="1"/>
  <c r="A318" i="1"/>
  <c r="A219" i="1"/>
  <c r="A813" i="1"/>
  <c r="A195" i="1"/>
  <c r="A439" i="1"/>
  <c r="A200" i="1"/>
  <c r="A401" i="1"/>
  <c r="A168" i="1"/>
  <c r="A167" i="1"/>
  <c r="A128" i="1"/>
  <c r="A127" i="1"/>
  <c r="A126" i="1"/>
  <c r="A400" i="1"/>
  <c r="A399" i="1"/>
  <c r="A398" i="1"/>
  <c r="A253" i="1"/>
  <c r="A313" i="1"/>
  <c r="A397" i="1"/>
  <c r="A420" i="1"/>
  <c r="A173" i="1"/>
  <c r="A125" i="1"/>
  <c r="A124" i="1"/>
  <c r="A36" i="1"/>
  <c r="A428" i="1"/>
  <c r="A437" i="1"/>
  <c r="A233" i="1"/>
  <c r="A553" i="1"/>
  <c r="A405" i="1"/>
  <c r="A860" i="1"/>
  <c r="A140" i="1"/>
  <c r="A191" i="1"/>
  <c r="A176" i="1"/>
  <c r="A404" i="1"/>
  <c r="A410" i="1"/>
  <c r="A403" i="1"/>
  <c r="A402" i="1"/>
  <c r="A857" i="1"/>
  <c r="A571" i="1"/>
  <c r="A973" i="1"/>
  <c r="A214" i="1"/>
  <c r="A290" i="1"/>
  <c r="A232" i="1"/>
  <c r="A65" i="1"/>
  <c r="A444" i="1"/>
  <c r="A413" i="1"/>
  <c r="A409" i="1"/>
  <c r="A412" i="1"/>
  <c r="A527" i="1"/>
  <c r="A408" i="1"/>
  <c r="A407" i="1"/>
  <c r="A871" i="1"/>
  <c r="A106" i="1"/>
  <c r="A375" i="1"/>
  <c r="A972" i="1"/>
  <c r="A406" i="1"/>
  <c r="A727" i="1"/>
  <c r="A726" i="1"/>
  <c r="A725" i="1"/>
  <c r="A705" i="1"/>
  <c r="A544" i="1"/>
  <c r="A411" i="1"/>
  <c r="A311" i="1"/>
  <c r="A175" i="1"/>
  <c r="A480" i="1"/>
  <c r="A112" i="1"/>
  <c r="A507" i="1"/>
  <c r="A329" i="1"/>
  <c r="A877" i="1"/>
  <c r="A521" i="1"/>
  <c r="A508" i="1"/>
  <c r="A193" i="1"/>
  <c r="A441" i="1"/>
  <c r="A440" i="1"/>
  <c r="A189" i="1"/>
  <c r="A520" i="1"/>
  <c r="A199" i="1"/>
  <c r="A301" i="1"/>
  <c r="A724" i="1"/>
  <c r="A815" i="1"/>
  <c r="A445" i="1"/>
  <c r="A146" i="1"/>
  <c r="A932" i="1"/>
  <c r="A145" i="1"/>
  <c r="A95" i="1"/>
  <c r="A247" i="1"/>
  <c r="A144" i="1"/>
  <c r="A143" i="1"/>
  <c r="A869" i="1"/>
  <c r="A519" i="1"/>
  <c r="A249" i="1"/>
  <c r="A367" i="1"/>
  <c r="A295" i="1"/>
  <c r="A296" i="1"/>
  <c r="A251" i="1"/>
  <c r="A111" i="1"/>
  <c r="A326" i="1"/>
  <c r="A327" i="1"/>
  <c r="A186" i="1"/>
  <c r="A443" i="1"/>
  <c r="A442" i="1"/>
  <c r="A374" i="1"/>
  <c r="A426" i="1"/>
  <c r="A41" i="1"/>
  <c r="A618" i="1"/>
  <c r="A936" i="1"/>
  <c r="A581" i="1"/>
  <c r="A373" i="1"/>
  <c r="A142" i="1"/>
  <c r="A506" i="1"/>
  <c r="A878" i="1"/>
  <c r="A602" i="1"/>
  <c r="A320" i="1"/>
  <c r="A868" i="1"/>
  <c r="A817" i="1"/>
  <c r="A875" i="1"/>
  <c r="A285" i="1"/>
  <c r="A222" i="1"/>
  <c r="A422" i="1"/>
  <c r="A841" i="1"/>
  <c r="A86" i="1"/>
  <c r="A221" i="1"/>
  <c r="A91" i="1"/>
  <c r="A238" i="1"/>
  <c r="A550" i="1"/>
  <c r="A152" i="1"/>
  <c r="A151" i="1"/>
  <c r="A150" i="1"/>
  <c r="A149" i="1"/>
  <c r="A141" i="1"/>
  <c r="A148" i="1"/>
  <c r="A350" i="1"/>
  <c r="A423" i="1"/>
  <c r="A184" i="1"/>
  <c r="A417" i="1"/>
  <c r="A416" i="1"/>
  <c r="A458" i="1"/>
  <c r="A415" i="1"/>
  <c r="A370" i="1"/>
  <c r="A369" i="1"/>
  <c r="A557" i="1"/>
  <c r="A556" i="1"/>
  <c r="A360" i="1"/>
  <c r="A966" i="1"/>
  <c r="A867" i="1"/>
  <c r="A96" i="1"/>
  <c r="A50" i="1"/>
  <c r="A466" i="1"/>
  <c r="A465" i="1"/>
  <c r="A362" i="1"/>
  <c r="A328" i="1"/>
  <c r="A336" i="1"/>
  <c r="A215" i="1"/>
  <c r="A202" i="1"/>
  <c r="A968" i="1"/>
  <c r="A286" i="1"/>
  <c r="A854" i="1"/>
  <c r="A240" i="1"/>
  <c r="A414" i="1"/>
  <c r="A303" i="1"/>
  <c r="A424" i="1"/>
  <c r="A155" i="1"/>
  <c r="A447" i="1"/>
  <c r="A430" i="1"/>
  <c r="A100" i="1"/>
  <c r="A229" i="1"/>
  <c r="A337" i="1"/>
  <c r="A317" i="1"/>
  <c r="A316" i="1"/>
  <c r="A706" i="1"/>
  <c r="A331" i="1"/>
  <c r="A460" i="1"/>
  <c r="A278" i="1"/>
  <c r="A953" i="1"/>
  <c r="A230" i="1"/>
  <c r="A250" i="1"/>
  <c r="A147" i="1"/>
  <c r="A118" i="1"/>
  <c r="A585" i="1"/>
  <c r="A946" i="1"/>
  <c r="A903" i="1"/>
  <c r="A584" i="1"/>
  <c r="A80" i="1"/>
  <c r="A109" i="1"/>
  <c r="A252" i="1"/>
  <c r="A459" i="1"/>
  <c r="A62" i="1"/>
  <c r="A162" i="1"/>
  <c r="A161" i="1"/>
  <c r="A160" i="1"/>
  <c r="A159" i="1"/>
  <c r="A158" i="1"/>
  <c r="A157" i="1"/>
  <c r="A282" i="1"/>
  <c r="A319" i="1"/>
  <c r="A718" i="1"/>
  <c r="A283" i="1"/>
  <c r="A323" i="1"/>
  <c r="A462" i="1"/>
  <c r="A563" i="1"/>
  <c r="A452" i="1"/>
  <c r="A825" i="1"/>
  <c r="A156" i="1"/>
  <c r="A454" i="1"/>
  <c r="A234" i="1"/>
  <c r="A967" i="1"/>
  <c r="A616" i="1"/>
  <c r="A371" i="1"/>
  <c r="A216" i="1"/>
  <c r="A461" i="1"/>
  <c r="A355" i="1"/>
  <c r="A241" i="1"/>
  <c r="A879" i="1"/>
  <c r="A714" i="1"/>
  <c r="A293" i="1"/>
  <c r="A308" i="1"/>
  <c r="A623" i="1"/>
  <c r="A300" i="1"/>
  <c r="A307" i="1"/>
  <c r="A281" i="1"/>
  <c r="A268" i="1"/>
  <c r="A309" i="1"/>
  <c r="A33" i="1"/>
  <c r="A844" i="1"/>
  <c r="A425" i="1"/>
  <c r="A267" i="1"/>
  <c r="A864" i="1"/>
  <c r="A53" i="1"/>
  <c r="A526" i="1"/>
  <c r="A305" i="1"/>
  <c r="A315" i="1"/>
  <c r="A324" i="1"/>
  <c r="A292" i="1"/>
  <c r="A291" i="1"/>
  <c r="A942" i="1"/>
  <c r="A38" i="1"/>
  <c r="A280" i="1"/>
  <c r="A66" i="1"/>
  <c r="A947" i="1"/>
  <c r="A225" i="1"/>
  <c r="A224" i="1"/>
  <c r="A223" i="1"/>
  <c r="A722" i="1"/>
  <c r="A943" i="1"/>
  <c r="A975" i="1"/>
  <c r="A376" i="1"/>
  <c r="A248" i="1"/>
  <c r="A934" i="1"/>
  <c r="A914" i="1"/>
  <c r="A935" i="1"/>
  <c r="A299" i="1"/>
  <c r="A717" i="1"/>
  <c r="A974" i="1"/>
  <c r="A201" i="1"/>
  <c r="A957" i="1"/>
  <c r="A204" i="1"/>
  <c r="A113" i="1"/>
  <c r="A956" i="1"/>
  <c r="A203" i="1"/>
  <c r="A716" i="1"/>
  <c r="A907" i="1"/>
  <c r="A333" i="1"/>
  <c r="A332" i="1"/>
  <c r="A965" i="1"/>
  <c r="A959" i="1"/>
  <c r="A343" i="1"/>
  <c r="A231" i="1"/>
  <c r="A381" i="1"/>
  <c r="A68" i="1"/>
  <c r="A431" i="1"/>
  <c r="A67" i="1"/>
  <c r="A276" i="1"/>
  <c r="A275" i="1"/>
  <c r="A274" i="1"/>
  <c r="A273" i="1"/>
  <c r="A272" i="1"/>
  <c r="A271" i="1"/>
  <c r="A270" i="1"/>
  <c r="A269" i="1"/>
  <c r="A944" i="1"/>
  <c r="A816" i="1"/>
  <c r="A170" i="1"/>
  <c r="A172" i="1"/>
  <c r="A342" i="1"/>
  <c r="A341" i="1"/>
  <c r="A171" i="1"/>
  <c r="A970" i="1"/>
  <c r="A958" i="1"/>
  <c r="A377" i="1"/>
  <c r="A964" i="1"/>
  <c r="A952" i="1"/>
  <c r="A354" i="1"/>
  <c r="A46" i="1"/>
  <c r="A169" i="1"/>
  <c r="A548" i="1"/>
  <c r="A547" i="1"/>
  <c r="A969" i="1"/>
  <c r="A530" i="1"/>
  <c r="A951" i="1"/>
  <c r="A863" i="1"/>
  <c r="A721" i="1"/>
  <c r="A852" i="1"/>
  <c r="A101" i="1"/>
  <c r="A433" i="1"/>
  <c r="A457" i="1"/>
  <c r="A456" i="1"/>
  <c r="A353" i="1"/>
  <c r="A529" i="1"/>
  <c r="A338" i="1"/>
  <c r="A455" i="1"/>
  <c r="A977" i="1"/>
  <c r="A976" i="1"/>
  <c r="A244" i="1"/>
  <c r="A688" i="1"/>
  <c r="A464" i="1"/>
  <c r="A963" i="1"/>
  <c r="A954" i="1"/>
  <c r="A950" i="1"/>
  <c r="A949" i="1"/>
  <c r="A961" i="1"/>
  <c r="A304" i="1"/>
  <c r="A107" i="1"/>
  <c r="A174" i="1"/>
  <c r="A549" i="1"/>
  <c r="A380" i="1"/>
  <c r="A960" i="1"/>
  <c r="A564" i="1"/>
  <c r="A941" i="1"/>
  <c r="A463" i="1"/>
  <c r="A948" i="1"/>
  <c r="A955" i="1"/>
  <c r="A243" i="1"/>
  <c r="A97" i="1"/>
  <c r="A561" i="1"/>
  <c r="A565" i="1"/>
  <c r="A962" i="1"/>
  <c r="A110" i="1"/>
  <c r="A372" i="1"/>
</calcChain>
</file>

<file path=xl/sharedStrings.xml><?xml version="1.0" encoding="utf-8"?>
<sst xmlns="http://schemas.openxmlformats.org/spreadsheetml/2006/main" count="5491" uniqueCount="2882">
  <si>
    <t>Crop Protection and Pest Management Competitive Grants Program</t>
  </si>
  <si>
    <t>USDA-NIFA</t>
  </si>
  <si>
    <t>National Institute of Food and Agriculture</t>
  </si>
  <si>
    <t>Others (see text field entitled "Additional Information on Eligibility" for clarification) Eligible Applicants: _x000D_
Eligibility Requirements_x000D_
Applicants for the Crop Protection and Pest Management (CPPM) program must meet all the requirements discussed in this RFA. Failure to meet the eligibility criteria by the application deadline may result in exclusion from consideration or, preclude NIFA from making an award. For those new to Federal financial assistance, NIFA s Grants Overview provides highly recommended information about grants and other resources to help understand the Federal awards process._x000D_
_x000D_
Applications may only be submitted by colleges and universities, as defined in 7 U.S.C. 3103, 1994 Institutions, and Hispanic-serving agricultural colleges and universities. _x000D_
_x000D_
Award recipients may subcontract to organizations not eligible to apply provided such organizations are necessary for the conduct of the project.</t>
  </si>
  <si>
    <t>The purpose of the Crop Protection and Pest Management program is to address high priority issues related to pests and their management using IPM approaches at the state, regional and national levels. The CPPM program supports projects that will ensure food security and respond effectively to other major societal pest management challenges with comprehensive IPM approaches that are economically viable, ecologically prudent, and safe for human health. The CPPM program addresses IPM challenges for emerging issues and existing priority pest concerns that can be addressed more effectively with new and emerging technologies. The outcomes of the CPPM program are effective, affordable, and environmentally sound IPM practices and strategies needed to maintain agricultural productivity and healthy communities. â€‹</t>
  </si>
  <si>
    <t>Short-Term Agricultural Ukrainian Fellowship Program</t>
  </si>
  <si>
    <t>USDA-FAS</t>
  </si>
  <si>
    <t>Foreign Agricultural Service</t>
  </si>
  <si>
    <t>none</t>
  </si>
  <si>
    <t>Others (see text field entitled "Additional Information on Eligibility" for clarification) See Section 2.1, Eligible Applicants, of the funding opportunity announcement for eligibility information.</t>
  </si>
  <si>
    <t>The U.S. Department of Agriculture, Foreign Agricultural Service, Agricultural Economic Development, announces this funding opportunity to support the Technical Agricultural Assistance Program by issuing a new award. This opportunity is available to State cooperative institutions or other colleges and universities in the United States, as defined at 7 USC 3103 and is intended to support USDA/FASâ€™s priority objectives in Ukraine by conducting targeted, short-term fellowships, bolstering connections with U.S. industry, researchers and regulators.</t>
  </si>
  <si>
    <t>DOD-COE-ERDC</t>
  </si>
  <si>
    <t>Engineer Research and Development Center</t>
  </si>
  <si>
    <t xml:space="preserve">Unrestricted (i.e., open to any type of entity above), subject to any clarification in text field entitled "Additional Information on Eligibility" </t>
  </si>
  <si>
    <t>Farm Business Management and Benchmarking Competitive Grants Program</t>
  </si>
  <si>
    <t>Others (see text field entitled "Additional Information on Eligibility" for clarification) Eligibility Requirements_x000D_
Applicants for the Farm Business Management and Benchmarking (FBMB) program must meet all the requirements discussed in this RFA. Failure to meet the eligibility criteria by the application deadline may result in exclusion from consideration or, preclude NIFA from making an award. For those new to Federal financial assistance, NIFA s Grants Overview provides highly recommended information about grants and other resources to help understand the Federal awards process. Applications may be submitted by numerous entities. Pursuant to 7 U.S.C. 3157(b)(7), eligible applicant means:_x000D_
1.	State agricultural experiment station; _x000D_
2.	College and universities; _x000D_
3.	University research foundation; _x000D_
4.	Other research institutions and organizations; _x000D_
5.	Federal agencies; _x000D_
6.	National laboratories; _x000D_
7.	Private organizations or corporations; _x000D_
8.	Individuals; or _x000D_
9.	Any group consisting of two (2) or more of the entities described in subparagraphs (A) through (H)._x000D_
Award recipients may subcontract to organizations not eligible to apply provided such organizations are necessary for the conduct of the project.</t>
  </si>
  <si>
    <t>The Farm Business Management and Benchmarking (FBMB) Competitive Grants Program provides funds for improving the farm management knowledge and skills of agricultural producers by maintaining and expanding a national, publicly available farm financial management database to support improved farm management.</t>
  </si>
  <si>
    <t>Alumni Engagement Innovation Fund (AEIF) 2025</t>
  </si>
  <si>
    <t>DOS-HND</t>
  </si>
  <si>
    <t>U.S. Mission to Honduras</t>
  </si>
  <si>
    <t xml:space="preserve">The Public Diplomacy Section of the U.S. Embassy Tegucigalpa is pleased to announce an open competition for past participants (â€œalumniâ€) of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toâ€¯hondurasalumni@state.govâ€¯by February 16, 2025, 23:59 pm (CST).â€¯ </t>
  </si>
  <si>
    <t>OVW Fiscal Year 2025 Training and Services to End Abuse in Later Life Program</t>
  </si>
  <si>
    <t>USDOJ-OJP-OVW</t>
  </si>
  <si>
    <t>Office on Violence Against Women</t>
  </si>
  <si>
    <t>Native American tribal organizations (other than Federally recognized tribal governments) States and territories; units of local government; tribal governments or tribal organizations; population specific organizations; victim service providers; and state, tribal, or territorial domestic violence or sexual assault coalitions.</t>
  </si>
  <si>
    <t>The Training and Services to End Abuse in Later Life Program (Abuse in Later Life Program) (Assistance Listing # 16.528) supports a comprehensive approach to addressing abuse in later life, including domestic violence, dating violence, sexual assault, stalking, neglect, abandonment, economic abuse, or willful harm committed against victims who are 50 years of age or older (hereinafter â€œolder victimsâ€). Applicants eligible to apply for this program are States; Units of local government; Tribal governments or Tribal organizations; Population specific organizations; Victim service providers; and State, Tribal, or territorial domestic violence or sexual assault coalitions.â€¯</t>
  </si>
  <si>
    <t>Rural Decentralized Water System Grant Program</t>
  </si>
  <si>
    <t>USDA-RUS</t>
  </si>
  <si>
    <t>Rural Utilities Service</t>
  </si>
  <si>
    <t>Others (see text field entitled "Additional Information on Eligibility" for clarification) Information on eligibility is available at this website: https://www.rd.usda.gov/programs-services/water-environmental-programs/rural-decentralized-water-systems-grant-program</t>
  </si>
  <si>
    <t>The DWS Grant Program has been established to help individuals with low to moderate incomes finance certain costs of household water wells and individually owned decentralized wastewater systems that they own or will own. Grants are made to eligible nonprofit organizations to establish and maintain a revolving fund to provide loans and sub-grants to eligible individuals for individually owned water well systems and/or individually owned wastewater systems. Loan and/or sub-grant funds may be used by the individual to construct, refurbish, rehabilitate, or replace decentralized water well or wastewater systems. For water well systems, funds may be used up to the point of entry to a home, which is the junction where water enters into a home water delivery system after being pumped from a well. For wastewater systems, in lieu of the point of entry, the point of exit is substituted. The point of exit is the junction where wastewater exits out of the home wastewater collection system into the septic tank and drain field. DWS grant funds may be used by the nonprofit recipient to pay administrative expenses associated with providing DWS loans and/or sub-grants.</t>
  </si>
  <si>
    <t>NSF/CASIS Transport Phenomena Research at the International Space Station to Benefit Life on Earth</t>
  </si>
  <si>
    <t>NSF</t>
  </si>
  <si>
    <t>National Science Foundation</t>
  </si>
  <si>
    <t xml:space="preserve">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and any Co-PIs must qualify as  U.S. Persons  under 22 U.S. Code  6010:   'United States person' means any United States citizen or alien admitted for permanent residence in the United States, and any corporation, partnership, or other organization organized under the laws of the United States. </t>
  </si>
  <si>
    <t>The Division of Chemical, Bioengineering, Environmental, and Transport Systems (CBET) and the Division of Civil, Mechanical, and Manufacturing innovation (CMMI) in the Engineering Directorate (ENG) and the Division of Materials Research (DMR) in the Directorate for Mathematical and Physical Sciences (MPS) of the U.S. National Science Foundation (NSF) are partnering with The Center for the Advancement of Science in Space, Inc. (CASIS) to solicit research projects in the general fields of fluid dynamics, particulate and multiphase processes, combustion and fire systems, thermal transport processes, nanoscale interactions, manufacturing methods that employ any of those transport phenomena, and resulting metallic materials, metal nanostructures and ceramic materials that can utilize the International Space Station (ISS) National Lab to conduct research that will benefit life on Earth. Only entities that qualify as "U.S. Persons" under 22 U.S. Code  6010, including academic investigators, non-profit independent research laboratories and academic-commercial teams are eligible to submit proposals.</t>
  </si>
  <si>
    <t>English Access Scholarship Program (Access)</t>
  </si>
  <si>
    <t>DOS-KAZ</t>
  </si>
  <si>
    <t>U.S. Mission to Kazakhstan</t>
  </si>
  <si>
    <t>Others (see text field entitled "Additional Information on Eligibility" for clarification) The following organizations are eligible to apply:   	Not-for-profit organizations, civil society/non-governmental organizations  	Public and private educational institutions 	For-profit organizations</t>
  </si>
  <si>
    <t xml:space="preserve">1. Project Background, Goals, and Objectives 
The U.S. Mission to Kazakhstan launched the English Access Scholarship Program in 2007. Since its inception, over 2,500 students across more than 15 regions of Kazakhstan have participated in the program. The Access Program aims to enhance students' ability to contribute to the socio-economic development of their communities and improve their prospects for engaging in educational and exchange opportunities in the United States. 
In response to growing interest in the program from rural areas and secondary school students in Kazakhstan, the U.S. Consulate General in Almaty is committed to continuing its support for local communities. This will be achieved through implementing partners located in Taldykorgan and Kyzylorda. 
This funding opportunity invites implementing organizations in these regions to design and deliver the Access Program through after-school classes and intensive sessions, benefiting a total of 60 talented 13-15-year-olds from economically disadvantaged backgrounds. The program requires 360 hours of English language instruction over a two-year period, which may include both classroom lessons and off-site activities that are clearly aligned with the curriculum. 
Additionally, the Access Program offers participants opportunities to engage with U.S. culture, global citizenship, and democratic values. It also provides professional development opportunities for teachers and administrators, as well as long-term benefits for alumni. 
Project Audience(s):  
The target audience for this program consists of bright and motivated students, aged 13 to 15, from secondary schools in Taldykorgan and Kyzylorda. The group should include an equal gender representation (50/50 ratio), with students coming from socially and economically disadvantaged backgrounds. Participants must demonstrate a strong interest in learning about U.S. culture and values. The program will be an intensive, in-person, two-year commitment, and students must be fully committed to attending and completing the program over its duration.   
Project Goal:  
The goal of the Access Program is to provide academically talented and motivated youth from economically disadvantaged backgrounds with the opportunity to enhance their English language skills, deepen their understanding of U.S. culture and democratic values, and develop leadership abilities. Through an intensive two-year curriculum, the program aims to empower participants to become active, informed global citizens, better equipped to pursue higher education, engage in cross-cultural exchanges, and contribute to the socio-economic development of their communities. 
Project Objectives:  
Objective 1: Provide at least 60 youth from low-income communities in Taldykorgan and Kyzylorda with enhanced English language skills through a two-year intensive program. 
Objective 2: Strengthen the teaching and leadership capabilities of Access English language instructors, fostering their professional growth and pedagogical effectiveness. 
Objective 3: Foster re-engagement with alumni of the Access Program in Taldykorgan and Kyzylorda, encouraging ongoing participation and support within the programâ€™s community. 
 </t>
  </si>
  <si>
    <t>ACADEMY FOR WOMEN ENTREPRENEURS (AWE) 2025 DRC</t>
  </si>
  <si>
    <t>DOS-COD</t>
  </si>
  <si>
    <t>U.S. Mission to the Democratic Republic of Congo</t>
  </si>
  <si>
    <t>Others (see text field entitled "Additional Information on Eligibility" for clarification) The following organizations are eligible to apply:   Not-for-profit organizations, including think tanks and civil society/nongovernmental organizations    Public and private educational institutions   Individuals For profit entities are not eligible for this funding opportunity.</t>
  </si>
  <si>
    <t>The Academy for Women Entrepreneurs (AWE) program was established by the U.S. Department of Stateâ€™s Bureau of Educational and Cultural Affairs (ECA) to support women entrepreneurs around the world. The AWE program provides female entrepreneurs with the skills, resources, and networks needed to launch and scale businesses within an inclusive learning community. In its third iteration in the DRC, the AWE program will train and enhance the capacity of 100 women entrepreneurs in five cities who have been running businesses for at least one year. The program consists of three phases: completion of an online curriculum (DreamBuilder); interactive sessions with business leaders; and a business plan competition, in which the top 20 participants will pitch their business ideas in Kinshasa. Ten finalists will have the opportunity to travel to Harvard Business School in the United States for advanced training. Through AWE, the U.S. Embassy in Kinshasa aims to strengthen and professionalize existing entrepreneurial networks by leveraging alumni contacts in five key provinces Alumni of U.S. government-funded exchange programs will play a central role as primary facilitators, collaborating with local NGOs that focus on sustainable management solutions. These facilitators will engage with participants through the American Spaces network across the country.</t>
  </si>
  <si>
    <t>ALUMNI-INFLUENCERS SUMMIT 2025 DRC</t>
  </si>
  <si>
    <t>Others (see text field entitled "Additional Information on Eligibility" for clarification) The following organizations are eligible to apply: _x000D_
  Not-for-profit organizations, including think tanks and civil society/non_x000D_
governmental organizations  _x000D_
  Public and private educational institutions _x000D_
  Individuals _x000D_
For profit entities are not eligible for this funding opportunity.</t>
  </si>
  <si>
    <t xml:space="preserve">The Democratic Republic of Congo is home to over 4,000 individuals who have benefited from U.S. government exchange programs. In addition, the country boasts a rapidly growing community of influencers who are playing a pivotal role in the nationâ€™s transformation and development. Their influence is particularly significant in shaping the evolving relationship between the American and Congolese peoples. In this context, and with the goal of fostering meaningful exchanges, supporting alumni initiatives, and enhancing the skills of Congolese digital creators and influencers, Public Diplomacy - Kinshasa is proud to host the Alumni â€“ Influencers Summit. This major event will take place from June 4 to 6, 2025, at the Rotana Hotel in Kinshasa. It will bring together 300 alumni and influencers, including 50 participants from various provinces across the DRC. The summit is designed to provide a platform for collaboration, idea-sharing, and networking among these key stakeholders. The primary objective of the summit is to strengthen their online presence and support the growth of their businesses. By providing opportunities for skill development and fostering valuable connections, the summit will empower attendees to enhance their digital influence and contribute to the continued development of the country. </t>
  </si>
  <si>
    <t>2025 Annual Program Statement   DRC Small Grants Program</t>
  </si>
  <si>
    <t>Others (see text field entitled "Additional Information on Eligibility" for clarification) The following organizations are eligible to apply:    _x000D_
  Not-for-profit organizations, including think tanks and civil society/non_x000D_
governmental organizations  _x000D_
  Public and private educational institutions _x000D_
For-profit organizations are not eligible for this funding opportunity.</t>
  </si>
  <si>
    <t>The U.S. Embassy Kinshasa of the U.S. Department of State is pleased to announce that funding is available through its Small Grants Program. This is an Annual Program Statement, outlining our funding priorities, the strategic themes we focus on, and the procedures for submitting requests for funding. Please carefully follow all instructions below. The Small Grants Program invites proposals for programs that strengthen ties between the United States and the Democratic Republic of the Congo (DRC). Programs should create opportunities for bilateral cooperation in areas of mutual interest and highlight shared values. All programs must include a U.S. element, such as an expert, organization, cultural element, or institution, that will promote increased understanding of U.S. policy and perspectives. The U.S. Embassy Kinshasa seeks to engage the public, civil society, media, and influencers at all levels of Congolese society and across the DRC with the goal of broadening understanding of U.S. policies, culture, history, society, and values.</t>
  </si>
  <si>
    <t>BJA FY25 Prison Rape Elimination Act (PREA) Training Curriculum for New Corrections Staff</t>
  </si>
  <si>
    <t>USDOJ-OJP-BJA</t>
  </si>
  <si>
    <t>Bureau of Justice Assistance</t>
  </si>
  <si>
    <t xml:space="preserve">Nonprofits having a 501(c)(3) status with the IRS, other than institutions of higher education </t>
  </si>
  <si>
    <t>The Prison Rape Elimination Act (PREA) Training Curriculum for New Corrections Staff will identify a cooperative agreement recipient to develop and deliver educational courses to provide new correctional staff an understanding of their requirements under the PREA Standards about how to prevent, detect, and respond to allegations of sexual abuse or sexual harassment of people in confinement settings. This program will provide a high quality base training for agencies to customize from which portions (e.g., modules) can be used for training refreshers as needed.</t>
  </si>
  <si>
    <t>VEGETATION MANAGEMENT for NATURAL RESOURCES BRANCH, FORT DRUM, NEW YORK</t>
  </si>
  <si>
    <t>DOD-COE-FW</t>
  </si>
  <si>
    <t>Fort Worth District</t>
  </si>
  <si>
    <t>Others (see text field entitled "Additional Information on Eligibility" for clarification) This funding opportunity is ONLY available for Cooperative Ecosystem Study Units under the Great Lakes-Northern Forest, Chesapeake Watershed, Northern Atlantic Coast,_x000D_
Great Rivers, and Great Plains CESU Units._x000D_
In accordance with the 16 USC 670c-1, Sikes Act, projects for the implementation and enforcement of integrated natural resources management plans, priority shall be given to Federal and State agencies having responsibility for the conservation or management of fish or wildlife.</t>
  </si>
  <si>
    <t>This funding opportunity is ONLY available for Cooperative Ecosystem Study Units under the Great Lakes-Northern Forest, Chesapeake Watershed, Northern Atlantic Coast, Great Rivers, and Great Plains CESU Units.Project Title: VEGETATION MANAGEMENT for NATURAL RESOURCES BRANCH, FORT DRUM, NEW YORKA cooperative agreement is being offered ONLY to members of the Cooperative Ecosystem Studies Units (CESU) Program Region(s) identified above. Award will be made upon mutual agreement and acceptance of the terms and conditions contained in the request for proposal and the recipientâ€™s CESU Master Agreement. Note the established CESU Program indirect rate is 17.5%.Responses to this Request for Statements of Interest will be used to identify potential organizations for this project. Approximately $234,154 is expected to be available to support this project for the base period. Additional funding may be available to the successful recipient for optional tasks and/or follow on work in subsequent years.NOTE: This project will be awarded under the authority of 16 USC 670c-1, Sikes Act.For projects for the implementation and enforcement of integrated natural resources management plans, priority shall be given to award to Federal and State agencies having responsibility for the conservation or management of fish or wildlife.Period of Performance. The base period of agreement will extend 12 months from date of award. There may be up to four 12-month follow-on periods based on availability of funding.Description of Anticipated Work: See attached Statement of ObjectivesNOTE: At this time we are only requesting that you demonstrate available qualifications and capabaility for performing similar or same type of work by submitting a Statement of Interest. A full proposal and budget are NOT requested at this time.Submission of Your Statement of Interest1. Statements of Interest (SOIs) are due by 2:00 P.M., Central Time, on 30 January 2025 to:Sandy JustmanGrants SpecialistUSACE, Fort Worth DistrictEmail: sandra.justman@usace.army.milOffice: 817-886-1073Chanley JenkinsProject ManagerUSACE, Fort Worth DistrictEmail: chanley.r.jenkins@usace.army.milOffice: 918-671-9132Description of Anticipated Work: See full Request documents on the Documents/Attachments Tab</t>
  </si>
  <si>
    <t>: U.S. Embassy Yangon American Center Yangon (ACY) Small Grants Competition</t>
  </si>
  <si>
    <t>DOS-MMR</t>
  </si>
  <si>
    <t>U.S. Mission to Myanmar</t>
  </si>
  <si>
    <t>Others (see text field entitled "Additional Information on Eligibility" for clarification)  	Not-for-profit organizations, including think tanks and         _x000D_
        civil society/non-governmental organizations _x000D_
 	Alumni of USG Exchanges_x000D_
 	Educational institutions_x000D_
 	Individuals</t>
  </si>
  <si>
    <t xml:space="preserve">The U.S. Embassy Yangon of the U.S. Department of State announces an open competition for organizations or individuals to submit an application and proposal to carry out a program (or programs) to strengthen the cultural ties and understanding between the U.S. and Myanmar through programs or projects that highlight shared values, promote bilateral cooperation and exchange. All programs must include an American cultural element, or connection with American expert/s, organization/s, or institution/s in a specific field that will promote increased understanding of U.S. policy and perspectives. Programs or projects are encouraged to use the American Center in Yangon and Jefferson Center in Mandalay as venues. Please carefully follow all instructions below.
Priority Program Areas: Priority will be given to proposals that address one or more of the following program areas:
1. EDUCATION - Programs that provide skill-based and vocational opportunities for Myanmar students and young adults in support of economic empowerment, special priority will be given to proposals that are aimed towards disadvantaged, marginalized, and rural communities . Programs that promote understating of U.S education and culture or that help prepare for study in the United States; the building of linkages between American and Myanmar private academic   cultural institutions; and training opportunities for Myanmar students or faculty and artists.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2. Entrepreneurship - Projects that provide training for small businesses and entrepreneurs, especially programs that are tailored toward disadvantaged or marginalized, or rural communities. Programs that enhance STEM education and skills among target audiences, foster innovation and critical thinking, and promote collaboration between U.S. and foreign institutions are essential. The target audience includes students aged 16 to 30 with an interest in STEM, educators, and underrepresented groups in STEM fields. 
3. MEDIA LITERACY, INDEPENDENT MEDIA   PRESS FREEDOM - Projects that promotes digital   media literacy, support training for independent   citizen journalism, and counter disinformation.
4.ENGLISH LANGUAGE LEARNING â€“ Projects that teach English skills and culture to Myanmar youth and young professionals. Programs for Business English or English for Entrepreneurs. 
5.â€“MYANMAR BILATERAL RELATIONSHIP - Programs that seek to promote a greater understanding of U.S. policies, culture, and society to Myanmar audiences; activities that promote shared values and interests between the American and Myanmar people; and projects that build people-to-people ties.
6. SUPPORTING INCLUSIVE   DIVERSE SOCIETY - Programs that seeks to build inclusive society, promote a deepened understanding of diversity and inclusion, and encourage tolerance and peace through socio-economic development, dialogue, skills development, and economic empowerment. </t>
  </si>
  <si>
    <t>U.S. Embassy Yangon Jefferson Center Mandalay (JCM) Small Grants Competition</t>
  </si>
  <si>
    <t>Others (see text field entitled "Additional Information on Eligibility" for clarification)  	Not-for-profit organizations, including think tanks and                 civil society/non-governmental organizations  	Alumni of USG Exchanges 	Educational institutions 	Individuals</t>
  </si>
  <si>
    <t>Fiscal Year (FY) 2025 Directors' Research Initiative (DRI)</t>
  </si>
  <si>
    <t>DOD-AFOSR</t>
  </si>
  <si>
    <t>Air Force Office of Scientific Research</t>
  </si>
  <si>
    <t>Others (see text field entitled "Additional Information on Eligibility" for clarification) See announcement for additional information on eligibility</t>
  </si>
  <si>
    <t>This Directorâ€™s Research Initiative NOFO will fund topics that are of interest to the Air Force Office of Scientific Research, as well as areas of interest to the United States Space Force. The theme for this initiative is Energy for Agility. Discovery science is needed today to achieve the energy resources required for the future integrated employment of Air and Space Forces, for power generation and optimization, and resilience to exposure.In the coming decades, we are expecting to witness groundbreaking innovations in energy generation (in traditional methods, nuclear methods, and alternative methods of fuel and power), mobile energy storage, and power distribution that will change the way we think about energy for our Air and Space systems.Regardless of the selection of power generation and power requirements of a system, power system engineering should push beyond reliance on electrical engineering power conditioning concepts, and applied mathematical methods are required to create foundational competency to optimize power efficiency that take into account system activities with variable durations, purposes, and environments. A rigorous coupling between kinetics, mechanics, and electrochemistry is required for the discovery of next generation batteries. The convergence of major advancements in precision multi-material manufacturing, high fidelity functional material simulation, full linkages between component-operational-campaign level modeling, self-learning artificial intelligence, and advanced platform and propulsion designs will lead to revolutionary changes in system design processes and will enable rapid revolutionary system optimization. Increased activities in space will bring new exposures to radiation from, for example, space and mobile energy/power sources together with extreme environments. This creates new demands for protecting systems, such as needs for protective coatings or gear, radiation hardening, or multi-functionality of materials, electronics, and systems. Questions will likely arise around human exposure and protection, as agile energy may create localized extreme environments and novel exposure challenges. Advances in fundamental chemistry, fundamental biology, or computational sciences may prompt novel opportunities in the convergence of biosciences with unconventional energy concepts.This opportunity seeks to fund proposals in four (4) specific topic areas. Please see the announcement for more information.</t>
  </si>
  <si>
    <t>U.S. Mission Vietnam PDS NOFO</t>
  </si>
  <si>
    <t>DOS-VNM</t>
  </si>
  <si>
    <t>U.S. Mission to Vietnam</t>
  </si>
  <si>
    <t>Others (see text field entitled "Additional Information on Eligibility" for clarification)   Registered not-for-profit organizations, including think tanks and civil society/non-governmental organizations with programming experience;_x000D_
  Not-for-profit or governmental educational institutions;_x000D_
  Registered social enterprises; or_x000D_
  Governmental institutions.</t>
  </si>
  <si>
    <t>The U.S. Mission to Vietnamâ€™s Public Diplomacy Section (PDS) of the Department of State is pleased to announce an open competition for organizations to submit proposals to carry-out activities that support the following priorities with Vietnamese audiences: enhance understanding of emerging technologies and related digital policies; teacher training for English as a second language across all areas of instruction; alumni engagement; and strengthen people-to-people ties as the U.S. and Vietnam mark thirty years of bilateral relations.This Notice of Funding Opportunity outlines our funding priorities, strategic themes, and the procedures for submitting requests for funding. Please note that the agreement will be signed under a federal assistance award. The funding is not eligible for a service agreement.Please carefully follow all instructions below.</t>
  </si>
  <si>
    <t>The Academy for Women Entrepreneurs in Slovakia</t>
  </si>
  <si>
    <t>DOS-SVK</t>
  </si>
  <si>
    <t xml:space="preserve">U.S. Mission to Slovakia </t>
  </si>
  <si>
    <t>Others (see text field entitled "Additional Information on Eligibility" for clarification) Not-for-profit organizations based in the Slovak Republic, including think tanks and civil society/non-governmental organizations; public and private educational institutions.</t>
  </si>
  <si>
    <t>PROGRAM DESCRIPTION The U.S. Embassy Bratislava of the U.S. Department of State announces an open competition for organizations to submit applications to carry out a program to promote womenâ€™s social and economic empowerment and provide enterprising women with knowledge, networks, and access to launch and scale successful businesses. Please follow all instructions below.Priority Region: Eastern SlovakiaProgram Objectives:The U.S. Embassy in Bratislava is soliciting proposals aimed at advancing women's economic opportunities and equipping women with the capabilities and resources needed to participate in the economy through the Academy of Women Entrepreneurship (AWE).AWE seeks to bring together a cohort of approximately 30 women who will meet both online and in-person to learn core business skills, including strategic planning, marketing, and finance. The program utilizes the no-cost, online learning platform DreamBuilder, which teaches participants the fundamentals of starting or growing a small business from a U.S. perspective. DreamBuilder offers modules on marketing, pricing, and bookkeeping, and includes a built-in business plan generator. The female participants discuss the modules with local facilitators, business leaders, and U.S. exchange alumni mentors.AWE strongly encourages applicants to partner with local NGOs, universities, and chambers of commerce for this program to offer women the opportunity to amplify their newly learned business skills and network with other businesspeople through speed mentoring, pitch competitions, and entrepreneurship fairs.Proposals must use DreamBuilder for their curriculum. Successful proposals also demonstrate strong engagement of U.S. exchange alumni, female expert speakers, and women business leaders, including those with connections to the United States, and include site visits to successful female-led businesses to offer inspiration and experience.</t>
  </si>
  <si>
    <t>FY 2025 PRM Request for Concept Notes for Global Protection Programs</t>
  </si>
  <si>
    <t>DOS-PRM</t>
  </si>
  <si>
    <t>Bureau of Population Refugees and Migration</t>
  </si>
  <si>
    <t>Others (see text field entitled "Additional Information on Eligibility" for clarification) Nonprofits having a 501(c)(3) status with the IRS, other than institutions of higher education Nonprofits that do not have a 501(c)(3) status with the IRS, other than institutions of higher education International Organizations.  International multilateral organizations, such as United Nations agencies, should not submit proposals through Grants.gov in response to this Notice of Funding Opportunity announcement.  Multilateral organizations that are seeking funding for programs relevant to this announcement should contact the PRM Program Officer (as listed below) on or before the closing date of the funding announcement.</t>
  </si>
  <si>
    <t>This Notice of Funding Opportunity seeks global initiatives that advance humanitarian protection for refugees, asylum seekers, and/or stateless persons. Concept notes can include activities that advance protection through: strengthening capacity, advocacy, creating and sharing best practice and tools, coordination, and other activities that promote humanitarian protection are also welcome. Proposed activities must have relatively broad impact on humanitarian responses and show clear, positive outcomes at the field level. PRM will not consider concept notes focused on a single country or those without global impact. Concept notes can address general humanitarian protection or focus on the following specific protection themes: persons with disabilities, stateless persons, LGBTQI+ persons, older persons, child protection, and mental health and psychosocial support. PRM defines protection as: â€œMeasures to safeguard the rights of PRM populations of concern by seeking to prevent or end patterns of violence or abuse; alleviate the trauma and related effects of violence or abuse; identify and promote durable solutions; foster respect for refugee, humanitarian, and human rights law; and ensure that humanitarian actions uphold human dignity, benefit the most vulnerable, and do not harm affected populations.â€ Organizations can apply as consortia. For this notice, PRM defines consortia as a group of at least three organizations that form an agreement to undertake an assistance activity beyond the resources of any one member.</t>
  </si>
  <si>
    <t>High Energy Cost Grants</t>
  </si>
  <si>
    <t>The Rural Utilities Service (RUS), an agency of the United States Department of Agriculture (USDA) announces a notice of funding opportunity, subject to appropriation, of up to $10 million in competitive grants to assist communities with extremely high energy costs. The grant funds may be used to acquire, construct, or improve energy generation, transmission, or distribution facilities serving communities where the average annual residential expenditure for home energy exceeds 275% of the national average. Eligible projects also include on-grid and off-grid renewable energy projects and the implementation of energy efficiency and energy conservation projects for eligible communities. Projects cannot be for the primary benefit of a single household or business. Grant funds may not be used for the preparation of the grant application, operating costs, or for the purchase of any equipment, structures, or real estate not directly associated with the provision of community energy services.</t>
  </si>
  <si>
    <t>2025 Pacific Northwest Bay Watershed Education and Training</t>
  </si>
  <si>
    <t>DOC-DOCNOAAERA</t>
  </si>
  <si>
    <t>DOC NOAA - ERA Production</t>
  </si>
  <si>
    <t>Others (see text field entitled "Additional Information on Eligibility" for clarification) Eligible applicants are: K-12 public and independent schools and school systems; institutions of higher education; community-based and nonprofit organizations; regional, state or local government agencies; interstate agencies; and Indian tribal governments. For-profit organizations, foreign organizations, and foreign public entities are not eligible to apply; however, for-profit and foreign organizations and foreign public entities may participate as a project partner with an eligible applicant. Federal agencies are not allowed to receive funds under this announcement but may serve as collaborative project partners and may contribute services in kind. Individuals are not eligible to apply. While applicants do not need to be located in the targeted geographical regions specified in the program objectives, the primary participants of the projects must be located in the geographical regions specified in the program objectives. For the purposes of this solicitation, the Pacific Northwest region is defined as Oregon and Washington.To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modules:https://www.commerce.gov/ocio/programs/gems/applicant-and-grantee-training.</t>
  </si>
  <si>
    <t>The Pacific Northwest Bay Watershed Education and Training (B-WET) program is an environmental education program that supports locally relevant, authentic experiential learning in the K-12 environment. Funded projects provide Meaningful Watershed Educational Experiences (MWEEs; defined below) for students, related professional development for teachers, and help to support regional education and environmental priorities in the Pacific Northwest. The primary delivery is through competitive grants.
The FY25 Pacific Northwest B-WET funding announcement focuses on the following priority areas:
1) Systemic classroom-integrated Meaningful Watershed Educational Experiences (MWEEs) for K-12 students that promote climate resilience and include high-quality teacher professional development related to the MWEEs; and
2) Meaningful Watershed Educational ExperiencesMWEEs) for K-12 students that appropriately involve Indigenous Knowledge and promote climate resilience.
For Pacific Northwest B-WET, applicants may be physically located in any U.S. state; however, education projects must target teachers and/or students in the Pacific Northwest region. For the purposes of this solicitation, the Pacific Northwest region is defined as Oregon and Washington.
This funding opportunity meets NOAA's Vision of healthy ecosystems (http://www.noaa.gov/our-mission-and-vision), helping to ensure that ocean, estuarine, and related ecosystems and the species that inhabit them are vibrant and sustainable in the face of challenges.
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t>
  </si>
  <si>
    <t>Laboratory Twinning: Genome Sequence Analysis as a Tool Investigating an Alleged Biological Weapons Attack</t>
  </si>
  <si>
    <t>DOS-ISN</t>
  </si>
  <si>
    <t>Bureau of International Security-Nonproliferation</t>
  </si>
  <si>
    <t>The Department of Stateâ€™s Office of the Nonproliferation and Disarmament Fund (ISN/NDF) is pleased to announce an open competition for assistance awards through this Notice of Funding Opportunity (NOFO). ISN/NDF invites non-profit/non-governmental organizations, international organizations, educational institutions, and US federal government entities to submit proposals for projects that will advance the mission of NDFâ€™s biological weapons threat reduction priorities. Proposals may not exceed the total availability of funds under this NOFO.-Applications must be submitted in the MyGrants Platform</t>
  </si>
  <si>
    <t>USAID Education for Social Prosperity</t>
  </si>
  <si>
    <t>USAID-DEM</t>
  </si>
  <si>
    <t>Democratic Republic of the Congo USAID-Kinshasa</t>
  </si>
  <si>
    <t xml:space="preserve">This a Request for Information (RFI)
The USAID Mission in the DRC is in the process of designing a new basic education activity to increase access to safe, inclusive, gender-responsive learning opportunities for children and youth ranging in age from 6 to 17 years old. The planned $12-14 million Education for Social Prosperity activity will build upon USAID/DRCâ€™s investments in the Kasai region to increase access to quality and relevant learning opportunities with tailored approaches for girls and support communities to become more resilient. By issuing this Request for Information (RFI), USAID/DRC aims to consult with the broad community of private sector actors, public institutions, development partners, non-governmental organizations, industry associations, civil society, think tanks, and academia concerned with education in the Kasai region. Your comments will inform our activity design to ensure efficient and effective use of contextualized best practices, coordination with existing and planned USAID and other development partner programs, as well as alignment with the Government of DRCâ€™s (GDRC) priorities. Not responding to this request does not preclude participation in any future solicitation.
Further details about this activity shall be provided through USAID Business Forecast based on completion of design and internal clearances.
</t>
  </si>
  <si>
    <t>FY25 Ruth D. Gates Coral Reef Conservation Grants - Fishery Management Council Cooperative Agreements</t>
  </si>
  <si>
    <t>Others (see text field entitled "Additional Information on Eligibility" for clarification) Eligible applicants are limited to the Caribbean Fishery Management Council, the Gulf of Mexico Fishery Management Council, the South Atlantic Fishery Management Council, and the Western Pacific Regional Fishery Management Council. NOAA employees are not permitted to assist in the preparation of applications. NOAA CRCP staff are available to provide general information on programmatic goals and objectives, ongoing coral reef conservation programs/activities, and regional funding priorities. For proposals that involve collaboration with current NOAA projects or staff, NOAA employees may provide a limited statement verifying the nature and extent of the collaboration and confirming prior coordination activities. Letters of support from NOAA employees are not allowable and will not be included among the application materials considered by merit reviewers.</t>
  </si>
  <si>
    <t>The NOAA Coral Reef Conservation Grant Program provides financial assistance through the Ruth D. Gates Coral Reef Conservation Grants - Fishery Management Council Cooperative Agreements (FMCCA) to the Regional Fishery Management Councils for projects to conserve and manage coral reef fisheries, as authorized under the Coral Reef Conservation Act, 16 U.S.C. Â§ 6410. Projects funded through the FMCCA are for activities that: 1) Improve compliance with coral reef fisheries laws and essential fish habitat designations; 2) Provide better scientific information to improve the management of shallow coral reef fisheries and associated essential fish habitat; 3) Advance ecosystem-based fisheries management though the application of existing data and fisheries management tools. Proposals selected for funding through this solicitation will be implemented through a one-year cooperative agreement. The role of NOAA in the FMCCA is to help identify potential projects to improve sustainable management of shallow coral reef fisheries and ecosystems, strengthen the development and implementation of the projects, and assist in coordination of these efforts with federal, state, territory or commonwealth management authorities and various coral reef user groups. Approximately $1,000,000 is expected to be available for FMCCA in FY 2025. The NOAA Coral Reef Conservation Program anticipates that awards will range from $125,000-$300,000. NOAA will not accept proposals with a federal request over $350,000.</t>
  </si>
  <si>
    <t>DOS-DRL</t>
  </si>
  <si>
    <t>Bureau of Democracy Human Rights and Labor</t>
  </si>
  <si>
    <t>REQUEST FOR INFORMATION (RFI) - USAID Catalyzing Access to FP</t>
  </si>
  <si>
    <t>USAID-MOZ</t>
  </si>
  <si>
    <t>Mozambique USAID-Maputo</t>
  </si>
  <si>
    <t>See attached</t>
  </si>
  <si>
    <t>S/GWI FY24 RSOI: SHE s BRIGHT - Supporting Her Empowerment: Building Resilient Initiatives and Girls  Hope Together</t>
  </si>
  <si>
    <t>DOS-SBUR</t>
  </si>
  <si>
    <t>Office of the Secretary</t>
  </si>
  <si>
    <t>Others (see text field entitled "Additional Information on Eligibility" for clarification) S/GWI welcomes applications from U.S.-based and foreign-based non-profit/non-governmental organizations (NGO) and public international organizations; private, public, or state institutions of higher education; and for-profit organizations or businesses.  S/GWI s preference is to work with non-profit entities; however, there may be some occasions when a for-profit entity is best suited.</t>
  </si>
  <si>
    <t>The Secretaryâ€™s Office of Global Womenâ€™s Issues (S/GWI) of the U.S. Department of State announces an open competition for organizations to submit a Statement of Interest (SOI) outlining concepts and capacity to manage a project that aims to prevent and address gender-based violence (GBV), including and especially the harmful practices of female genital mutilation and cutting (FGM/C) and/or child, early, and forced marriage (CEFM). S/GWI is particularly interested in efforts to address these harmful practices through girl-led initiatives by:  (1) directly investing in and supporting girl-led and girl-serving groups, networks, and/or coalitions through small grants and capacity support to design and implement solutions tailored to their communities; and (2) coordination and facilitating engagement between girls and key stakeholders and decisionmakers on ending GBV and harmful practices. All activities should be designed to help girls build their own networks and individual capacity to participate in, inform, and lead and contribute to broader movements to end GBV and harmful practices in their communities.  Statements of interest should clearly define and detail one country or one region of implementation.  Applicants can select from the following five countries (Indonesia, Nepal, Niger, or Sierra Leone) or the West Africa region.  This project should focus on girls and young women ages 10-19.</t>
  </si>
  <si>
    <t>Countering Information Manipulation Following Investigations of Suspected Biological Attacks</t>
  </si>
  <si>
    <t>The Department of Stateâ€™s Office of the Nonproliferation and Disarmament Fund (ISN/NDF) is pleased to announce an open competition for assistance awards through this Notice of Funding Opportunity (NOFO). ISN/NDF invites non-profit/non-governmental organizations, international organizations, and educational institutions to submit proposals for projects that will advance the mission of NDFâ€™s biological weapons threat reduction priorities. Proposals may not exceed the total availability of funds under this NOFO.</t>
  </si>
  <si>
    <t>U.S. Embassy Yangon Public Diplomacy Small Grants Competition</t>
  </si>
  <si>
    <t>Others (see text field entitled "Additional Information on Eligibility" for clarification)  	Not-for-profit organizations, including think tanks and         civil society/non-governmental organizations 	Alumni of USG Exchanges 	Educational institutions 	Individuals</t>
  </si>
  <si>
    <t xml:space="preserve">The U.S. Embassy Yangon of the U.S. Department of State announces an open competition for organizations or individuals to submit an application and proposal to carry out a program (or programs) to strengthen the cultural ties and understanding between the U.S. and Myanmar through programs or projects that highlight shared values, promote bilateral cooperation and exchange. All programs must include an American cultural element, or connection with American expert/s, organization/s, or institution/s in a specific field that will promote increased understanding of U.S. policy and perspectives. Programs or projects are encouraged to use the American Center in Yangon and Jefferson Center in Mandalay as venues. Please carefully follow all instructions below.
Priority Program Areas: Priority will be given to proposals that address one or more of the following program areas:
 1. EDUCATION - Programs that provide skill-based and vocational opportunities for Myanmar students and young adults in support of economic empowerment, special priority will be given to proposals that are aimed towards disadvantaged, marginalized, and rural communities . Programs that promote understating of U.S education and culture or that help prepare for study in the United States; the building of linkages between American and Myanmar private academic   cultural institutions; and training opportunities for Myanmar students or faculty and artists.
2. Entrepreneurship - Projects that provide training for small businesses and entrepreneurs, especially programs that are tailored toward disadvantaged or marginalized, or rural communities. 
3. MEDIA LITERACY, INDEPENDENT MEDIA   PRESS FREEDOM - Projects that promotes digital   media literacy, support training for independent   citizen journalism, and counter disinformation.
4.ENGLISH LANGUAGE LEARNING â€“ Projects that teach English skills and culture to Myanmar youth and young professionals. Programs for Business English or English for Entrepreneurs. 
5.â€“MYANMAR BILATERAL RELATIONSHIP - Programs that seek to promote a greater understanding of U.S. policies, culture, and society to Myanmar audiences; activities that promote shared values and interests between the American and Myanmar people; and projects that build people-to-people ties.
6. SUPPORTING INCLUSIVE   DIVERSE SOCIETY - Programs that seeks to build inclusive society, promote a deepened understanding of diversity and inclusion, and encourage tolerance and peace through socio-economic development, dialogue, skills development, and economic empowerment. 
Note: Please see detail information in application package tab.
 </t>
  </si>
  <si>
    <t>Alumni Engagement Innovation Fund 2025</t>
  </si>
  <si>
    <t>Others (see text field entitled "Additional Information on Eligibility" for clarification) The following applicants are eligible to apply: 	Applicants must be alumni of a U.S. government-funded or sponsored exchange program or a U.S. government-sponsored exchange program (https://j1visa.state.gov/).  	Projects teams must include teams of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or alumni associations of USG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t>
  </si>
  <si>
    <t>The U.S. Mission to Kazakhstan announces an open competition for past participants (â€œalumniâ€) of U.S. government-funded and U.S. government-sponsored exchange programs to submit applications for the 2025 Alumni Engagement Innovation Fund (AEIF 2025). We seek proposals from teams of at least two alumni that meet all program eligibility requirements below. This initiative aims to strengthen alumni-led efforts in empowering youth through skill-building and fostering creativity to promote a more engaged and resilient civil society in Kazakhstan. By leveraging innovative approaches and collaborative solutions, projects will equip local communities to address key societal challenges and drive positive change. Projects should be implemented in 2025-2026 and are expected to take 6-12 months to complete and achieve the defined goals. Activities will take place across various rural and urban regions of Kazakhstan, focusing on areas most affected by these challenges. By the end of the program, we aim to see measurable improvements in engagement, inclusive leadership, and community-driven solutions, ultimately contributing to a more connected and resilient society.</t>
  </si>
  <si>
    <t>FY 2025 Annual Program Statement</t>
  </si>
  <si>
    <t>DOS-RUS</t>
  </si>
  <si>
    <t>U.S. Mission to Russia</t>
  </si>
  <si>
    <t>Others (see text field entitled "Additional Information on Eligibility" for clarification) Eligibility is limited to recipients qualified to receive U.S. grants and able to develop and implement programs in the Russian Federation, or programs that engage communities maintaining ties to people living in Russia.  Preference will be given to recipients implementing programs in the Russian Federation or directly reaching people living in Russia.  These include:_x000D_
 	Not-for-profit organizations, including think tanks, educational institutions, civil society organizations, and individuals carrying out programs in support of civil society; _x000D_
 	Museums, national parks, and nature reserves, and;_x000D_
 	Individuals.</t>
  </si>
  <si>
    <t xml:space="preserve">BACKGROUND: The U.S. government unequivocally condemns the Russian governmentâ€™s aggressive foreign policy. The Kremlinâ€™s efforts to silence independent voices, restrict access to unbiased information, and punish dissent represent a pattern of systematic repression of the Russian peopleâ€™s fundamental freedoms. The United States recognizes this and distinguishes between Russiaâ€™s government and its people. The United States respects the Russian peopleâ€™s contributions to science, culture, and education. Maintaining and strengthening the people-to-people connections between our countries serves the long-term interests of the United States and remains the bedrock upon which a future, more constructive bilateral relationship could emerge. In that spirit, the United States supports people-to-people engagements, exchange programs, and other initiatives that allow Russian students, scholars, and civil society members to experience the United States, its culture, and its values firsthand, and that promote interaction between the Russian and American people with the aim of keeping the door open to a better future. 
A. PROGRAM DESCRIPTION
The U.S. Embassy Moscow Public Diplomacy Section (PDS) announces funding is available through our Public Diplomacy Grants Program. This APS outlines our funding priorities, strategic themes, and the procedure for submitting requests for funding. Applications for programs are accepted until the deadline of March 3, 2025. The U.S. Embassy will not accept applications under the 2025 NOFO after that deadline. 
Please follow the instructions below. Please use the grant application mandatory forms and consider using the proposal and budget templates found on our website sidebar.
Purpose of Public Diplomacy Grants: PDS Moscow invites proposals for projects that support future constructive relations and reinforce ties between the American and Russian people. Grant proposals must convey an element of U.S. history, culture, or values. Competitive proposals should support a priority program area (see below) and should also include a connection with U.S. expert/s, organization/s, or institution/s that will promote increased cooperation between the people of the United States and Russia even after the program has finished.
Priority Programming Areas: 
Â· Media   Information: Projects that promote an understanding of freedom of the press, good journalistic practices, increased access to information, and improved media and digital literacy for the Russian people;
Â· Sharing America: Projects that promote an understanding of the American values of democracy, freedom of expression, and an open society, as well as proposals that increase the understanding of Americaâ€™s diverse cultures and groups; 
Â· Empowering Women   Minorities: Projects that support the rights of women, minorities, marginalized populations, and persons with disabilities;
Â· Environment   Space: Projects that promote improvements, innovation, advancement, and collaboration in the areas of space and the environment;
Â· English Language Learning   Teaching: Projects that support innovative, interactive teaching and learning of the English language.
The following types of projects are NOT eligible for funding: 
Â· Projects relating to partisan political activity;
Â· Charitable or development activities;
Â· Construction projects;
Â· Commercial projects;
Â· Projects that support specific religious activities;
Â· Fundraising campaigns;
Â· Lobbying for specific legislation or projects;
Â· Competitions where the prize is the only outcome of the program;
Â· Scientific research and/or surveys; or
Â· Projects that duplicate existing projects.
Authorizing legislation, type, and year of funding: 
Funding authority rests primarily in Fulbright-Hayes or Smith-Mundt FY2025/2026 Public Diplomacy funding, as well as other funding sources. All programming is subject to the statutory limitations of the funding determined and availability of funds. </t>
  </si>
  <si>
    <t>Alumni Engagement Innovation Fund (AEIF) - Norway</t>
  </si>
  <si>
    <t>DOS-NOR</t>
  </si>
  <si>
    <t>U.S. Mission to Norway</t>
  </si>
  <si>
    <t>Others (see text field entitled "Additional Information on Eligibility" for clarification)  	Teams of two or more ExchangeAlumni who have participated in a U.S. government-sponsored exchange program.  At least one team member must be Norwegian or resident in Norway. 	Alumni Associations in Norway with ExchangeAlumni members.  	Not-for-profit organizations, including think tanks and civil society/non-governmental organizations affiliated or partnering with ExchangeAlumni. 	Public and private educational institutions with ExchangeAlumni on the staff or faculty</t>
  </si>
  <si>
    <t xml:space="preserve">Notice of Funding Opportunity (NOFO) â€“ Embassy Norway Alumni Engagement Innovation Fund 2025
ï»¿
The Embassy of the United States in Norway announces an open competition for past participants of U.S. government-funded and U.S. government-sponsored exchange programs (ExchangeAlumni) to submit applications to the 2025 Alumni Engagement Innovation Fund (AEIF 2025) 
We seek proposals from teams of two or more ExchangeAlumni, at least one of whom is Norwegian or resident in Norway, that meet all program eligibility requirements below. 
ExchangeAlumni interested in participating in AEIF 2025 should submit proposals to oslogrants@state.gov by 23:59 Oslo time on February 15, 2025.
 A. PROGRAM DESCRIPTION
The Alumni Engagement Innovation Fund (AEIF) is a unique opportunity for alumni of U.S. government-sponsored and facilitated exchange programs (ExchangeAlumni) to expand on skills and knowledge gained during their exchange experience, connect with fellow alumni, and elevate their role as community leaders. 
Since its inception in 2011, AEIF has funded nearly 900 alumni-led projects around the world through a competitive global competition. Past participants have developed projects that promote media literacy education, build community resilience, foster alumni network development, and engage with issues such as climate change and sustainable development. 
Goals and Objectives 
AEIF is designed to increase the impact of the U.S. governmentâ€™s investment in exchange participants and programs, by providing ExchangeAlumni with funding to design and implement innovative solutions to global challenges facing their community. All AEIF projects must include at least one of the following: 
Â· Convene ExchangeAlumni from one or more U.S. government exchange programs to build or expand an alumni network capable of working together on common interests and increase regional and global collaboration of alumni. 
Â· Strengthen the relationship between ExchangeAlumni and the U.S. government to work together on activities that address mutual goals and challenges. 
Â· Support ExchangeAlumni as they develop their leadership capacity and implement projects in their communities. 
We welcome creative proposals that address the elements above and promote the relationship between the U.S. and Norway through a variety of topics including, but not limited to:
 Highlighting the importance of the strong security and defense relationship between the U.S. and Norway 
 Promoting awareness of, and interest in, benefits of the economic relationship between the U.S. and Norway 
 Sharing best practices in research security and academic integrity. 
 Expanding bilateral ties based on shared Norwegian and American values 
 Capitalizing on interest in the history and legacy of Norwegian emigration to the United States during the bicentennial commemorations in 2025 to underscore connections between contemporary Norway and the U.S. 
</t>
  </si>
  <si>
    <t>DOE-GFO</t>
  </si>
  <si>
    <t>Golden Field Office</t>
  </si>
  <si>
    <t>Fellowships Open Book Program</t>
  </si>
  <si>
    <t>NEH</t>
  </si>
  <si>
    <t>National Endowment for the Humanities</t>
  </si>
  <si>
    <t>The National Endowment for the Humanities (NEH) Office of Digital Humanities, in partnership with the NEH Division of Research Programs and Division of Education Programs, is accepting applications for the Fellowships Open Book Program. This limited competition awards publishers a $6,600 grant to release open access digital editions of books whose underlying research was funded by an eligible NEH fellowship or grant. (See NOFO section A. Program Description for a complete list of eligible programs.) Publishers must release e-books under a Creative Commons license, making those books free for anyone to download. The book could be a forthcoming title (to be open access upon first release) or it could be a book that was published, reissued, or printed in a new edition during or after calendar year 2010.</t>
  </si>
  <si>
    <t>Alumni Engagement Innovation Fund NOFO</t>
  </si>
  <si>
    <t>DOS-RWA</t>
  </si>
  <si>
    <t>U.S. Mission to Rwanda</t>
  </si>
  <si>
    <t>Others (see text field entitled "Additional Information on Eligibility" for clarification)  	Applicants must be alumni of a U.S. government-funded or sponsored exchange program or a U.S. government-sponsored exchange program._x000D_
 	Project teams must include at least two (2) alumni. _x000D_
 	Alumni who are U.S. citizens may not submit proposals, but U.S. citizen alumni may participate as team members in a project. _x000D_
 	Alumni teams may be comprised of alumni from different exchange programs and different countries. _x000D_
 	Applications must be submitted by exchange alumni or alumni associations of U.S. government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t>
  </si>
  <si>
    <t>The Public Diplomacy Section of the Embassy of the United States of America in Kigali, Rwanda, is pleased to announce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by email to KigaliPDGrants@state.gov by February 23, 2025, 11:59 p.m. (GMT+2). 
1. Goals and Objectives 
AEIF 2025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to increase economic growth and strengthen human capital and to promote democracy, good governance, and rule of law.  
The U.S. Embassy Kigali will accept public service projects proposed and managed by teams of at least two (2) alumni that support themes such as:  
Â· Promote leadership and/or health diplomacy through science, technology, engineering, art, and mathematics (STEAM) 
Â· Support professional development for youth to improve job readiness 
Â· Promote media professionalsâ€™ and/or early career reportersâ€™ capacity 
Â· Promote inclusion, advocacy, and education of vulnerable groups 
Â· Promote digital literacy and soft skills among underserved youth 
2. Substantial Involvement  
The U.S. Embassy will determine the level of substantial involvement after the grantee is selected.  
A. Application Contents and Format 
Please follow all instructions below carefully.  Proposals that do not meet the requirements of this announcement or fail to comply with the stated requirements will be ineligible. 
Content of Application 
Please ensure: 
Â· The proposal clearly addresses the goals and objectives of this funding opportunity 
Â· All documents are in English 
Â· All budgets are in U.S. dollars 
Â· All pages are numbered 
Â· Length of proposal does not exceed 10 pages 
Â· All documents are formatted to fit 8 Â½ x 11 paper, and 
Â· All Microsoft Word documents are single-spaced, 12-point Calibri font, with a minimum of 1-inch margins.</t>
  </si>
  <si>
    <t>Translation and Diffusion</t>
  </si>
  <si>
    <t>Others (see text field entitled "Additional Information on Eligibility" for clarification) *Who May Submit Proposals: Proposals may only be submitted by the following:
  -Foreign organizations: For cooperative projects involving U.S. and foreign organizations, support will only be provided for the U.S. portion.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-Other Federal Agencies and Federally Funded Research and Development Centers (FFRDCs): Prospective proposers from other FFRDCs, including NSF sponsored FFRDCs, must follow the guidance in PAPPG Chapter I.E.2 regarding limitations on eligibility.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</si>
  <si>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This solicitation addresses issues of translation and diffusion that arise in moving knowledge gained from fundamental learning and education research toward application in PreK-12 STEM classroom practice or leveraging knowledge derived from effective practice toward driving fundamental research. The first goal of this funding opportunity is to encourage the scientific study of theories, frameworks, and models for the translation and diffusion of knowledge, especially between fields and across contexts and levels-of-analysis (e.g., biological to cognitive/socioemotional to behavioral; individual to classroom to broader demographic variables; lab to classroom to school to district). The second goal is to advance or move specific practice, research or scientific discovery in STEM education reciprocally along the research-practice continuum.
The Translation and Diffusion (TD) solicitation invites four types of proposals: Research on Translation or Diffusion proposals request funding to conduct scholarship that will advance the sciences of translation or diffusion of fundamental research knowledge toward PreK-12 formal STEM education practice by developing or refining theories, frameworks, or models (or adapting those from other domains) and conducting related research. Such proposals may also address the leveraging of effective classroom practices toward the enrichment of foundational research, constructs and models. We note that bi-directional movement across boundaries is a mutually beneficial reciprocal process. Proof-of-Concept Research proposals request funding to explore the feasibility and viability of particular knowledge or products generated from STEM education research toward advancing practice in formal PreK-12 settings (even if it is still basic or applied research and development rather than implementation). The goals are to facilitate the process by which the promise that the initial insight holds for research and practice can be realized. The outcome of such a project would lay the methodological, theoretical, empirical, design, or social foundation for conducting systematic work at the next stage of development or at the next level of analysis. Empirical and theory-building efforts to adapt initial insights from research or practice across significantly different contexts, populations, domains, and levels-of-analysis are also welcome. Synthesis proposals critically integrate the current state of knowledge on a particular topic relevant to translation and diffusion in formal PreK-12 STEM education. Such proposals should include the state of the knowledge across disciplinary communities and across relevant literatures, identify the lacunae in STEM education knowledge, and, where appropriate, lay out thenext steps for future research and development. Conference / Workshop proposals relevant to the call are also welcome.</t>
  </si>
  <si>
    <t>U.S. Embassy Nairobi, Kenya: Ambassadors Fund For Cultural Preservation (AFCP) 2025</t>
  </si>
  <si>
    <t>DOS-KEN</t>
  </si>
  <si>
    <t>U.S. Mission to Kenya</t>
  </si>
  <si>
    <t>Others (see text field entitled "Additional Information on Eligibility" for clarification) Only these types or organizations may apply: 	Foreign Institutions of Higher Education 	Foreign-Based Non-Governmental Organizations (NGOs) 	Foreign Public Entities (where permitted) 	Public International Organizations and Governmental Institutions 	U.S. Institutions of Higher Education 	U.S. Non-Profit Organizations (IRS section 501(c)(3)</t>
  </si>
  <si>
    <t>Executive summary The U.S. Embassy in Nairobi, Kenya is now accepting applications for the U.S. Ambassadors Fund for Cultural Preservation (AFCP) Grants Program! AFCP supports the preservation of historic buildings, archaeological sites, manuscripts, museum collections, and forms of traditional cultural expression such as indigenous languages and crafts in more than 120 countries around the world. Grants range from U.S. $25,000 to $500,000.Projects may range in length from one to five years. The application process involves two rounds:ï»¿Round 1: The first round includes the submission of project ideas in the form of concept notes, due to the U.S. Embassy in Nairobi on January 15, 2025. Concept notes should be submitted electronically to and should not exceed three pages. No hard copies will be accepted. Failure to include any of the requirements or follow the character limits will result in the application being deemed ineligible.Round 2: Selected applicants will be invited to submit full project applications for Round Two by March 31, 2025.For any questions regarding the submission process, please email Priority regions: All the counties in Kenya Participants and audiences: Local communities, government agencies, educational institutions, tourists, and others interested in cultural heritage and preservation.Funding Areas Â· Anastylosis: Reassembling a site using its original parts. Â· Conservation: Treating or otherwise addressing damage or deterioration to an object or site. Â· Consolidation: Reconnecting elements of an object or site. Â· Documentation: Recording the condition and important features of an object, site, or tradition in analog or digital format. Â· Inventory: Listing objects, sites, or traditions by location, feature, age, or other unifying characteristics. Â· Preventive Conservation: Addressing conditions that threaten or damage a site, object, collection, or tradition. Â· Restoration: Replacing missing elements to recreate the original appearance of an object or site, usually appropriate for fine arts, decorative arts, and historic buildings. Â· Stabilization: Reducing the physical disturbance or increasing the stability of an object or site.</t>
  </si>
  <si>
    <t>Smart and Connected Communities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</si>
  <si>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</si>
  <si>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The purpose of the NSF Smart and Connected Communities (S CC) program solicitation is to accelerate the creation of novel intelligent technologies and concepts through high-risk/high-reward research that addresses major challenges and issues faced by communities across the US. A  smart and connected community  is defined as a community that synergistically integrates intelligent technologies with the natural and built environments and with the functions of civic institutions and organizations. Proposals submitted to the program should be designed to advance one or more of the following community priorities: economic opportunity and growth; safety and security; human and environmental health and wellness; accessibility of critical services and resources; and the overall quality of life for those who live, work, learn, or travel within the community. To meet the goals of the program, researchers should work with community stakeholders to identify and define challenges the community faces, using that interaction and input to generate high-impact, use-inspired, basic research that advances science and engineering.</t>
  </si>
  <si>
    <t>Implementation of the Academy of Women Entrepreneurs (AWE)</t>
  </si>
  <si>
    <t>DOS-TJK</t>
  </si>
  <si>
    <t>U.S. Mission to Tajikistan</t>
  </si>
  <si>
    <t>Others (see text field entitled "Additional Information on Eligibility" for clarification) The following not for profit organizations are eligible to apply:   	Non-profit organizations  	Civil society/non-governmental organizations  	Public and private educational institutions</t>
  </si>
  <si>
    <t xml:space="preserve">
 Project Background, Goals, and Objectives 
The U.S. Embassy Dushanbeâ€™s Public Diplomacy Section (PDS) announces an open competition to implement the second cohort of the Academy for Women Entrepreneurs (AWE) in Tajikistan. The AWE program, established by the U.S. State Department's Bureau of Educational and Cultural Affairs (ECA) in 2019, aims to provide women with the knowledge, networks, and access needed to launch or scale successful businesses. The program uses the no-cost, online DreamBuilder platform, developed in partnership with Arizona State University and Freeport-McMoRan. The DreamBuilder platform teaches participants the fundamentals of starting or growing a small business from a U.S. perspective, offering modules on marketing, pricing, and bookkeeping, and includes a built-in business plan generator. By promoting womenâ€™s economic opportunities and ensuring that women have the capabilities and resources to participate in the economy, the AWE program directly supports the U.S. National Strategy on Gender Equity and Equality. 
The Gorno-Badakhshan Autonomous Region (GBAO) and Khatlon regions of Tajikistan have significant potential for economic development, particularly through the empowerment of women entrepreneurs. Despite recent progress, women in these regions face numerous challenges, including limited access to financial resources, business training, and market opportunities. Cultural and social barriers also hinder womenâ€™s participation in the entrepreneurial ecosystem. 
These regions have been particularly associated with a large population of labor migrants. Approximately 30% of the working-age population in GBAO and 25% in Khatlon are engaged in labor migration, primarily to Russia and other neighboring countries. This migration trend significantly impacts the local economy and the availability of human resources, particularly affecting women who often remain behind to manage households and seek alternative income sources. 
Project Goal: 
Increase participation of women entrepreneurs in Tajikistanâ€™s GBAO and Khatlon regionsâ€™ local economy by offering a U.S.-style online education facilitated and localized by State Department exchange alumni and local partners. The project aims to foster networks for peer-to-peer mentorship, business partnerships, and scale opportunities with regional and U.S. businesses. 
Project Objectives: Project proposals may address one or more of the project themes listed below. Applicants are encouraged to incorporate all the objectives listed under a selected theme. 
 Empower Women Entrepreneurs through Training and Skills Development 
 Improve women entrepreneursâ€™ confidence and motivation in pursuing and growing their businesses, as measured by 90% improvement in self-reported confidence levels by the end of the training. 
 Increase the ability of women to create and grow their businesses, resulting in 50% of participants launching a registered business or scaling up their business within 6 months of completing the program. 
 Promote the use of technology and digital tools among women entrepreneurs, resulting in at least 90% of participants actively using two or more digital tools in their businesses Digital tools include but are not limited to: e-commerce platforms, social media marketing, financial management software, and more). 
 Enhance Awareness and Access to Business Opportunities and Funding 
 Increase women entrepreneursâ€™ awareness and knowledge of business opportunities in Tajikistan, resulting in at least 90% of participants applying for at least one business opportunity within three months of completing the training. 
 Increase the capacity of 15-20 of women entrepreneurs to apply for funding opportunities, including grants, loans, and investments, resulting in at least 50% of participants applying for funding within six months of completing the training and 50% of participants receiving funding approval to fuel their business growth. 
Project Audience 
 Women aged 18 to 45. 
 Women from Khatlon or GBAO regions. 
 Holding high school and/or university degrees. 
 Approximately 1-2 years of business experience. 
 Motivation to start or scale a long-term business or entrepreneurial activity. 
 From diverse backgrounds in GBAO or Khatlon regions of Tajikistan. 
 Minimum intermediate computer skills. 
 Proven leadership experience. 
 Ideally experience volunteering in local communities. 
 Some English proficiency preferred, but not required. 
For more information, please see the attached Full NOFO in PDF version.
</t>
  </si>
  <si>
    <t>Small Grants Program 2025</t>
  </si>
  <si>
    <t>Others (see text field entitled "Additional Information on Eligibility" for clarification) The following organizations are eligible to apply: Not-for-profit organizations, including think tanks and civil society/non-governmental organizations; _x000D_
For-profit organizations</t>
  </si>
  <si>
    <t>The Public Diplomacy Sections (PDS) in Astana and Almaty are soliciting proposals for grants from Kazakhstanâ€™s civil society and independent media organizations that focus on one of the priority areas/themes described in detail in the attached notice of funding opportunity.</t>
  </si>
  <si>
    <t>Democracy Commission Small Grants Program</t>
  </si>
  <si>
    <t>DOS-UZB</t>
  </si>
  <si>
    <t>U.S. Mission to Uzbekistan</t>
  </si>
  <si>
    <t>Others (see text field entitled "Additional Information on Eligibility" for clarification) Eligible Applicants:_x000D_
The following organizations are eligible to apply: _x000D_
  Not-for-profit organizations, including think tanks and civil society/non-governmental organizations _x000D_
  For-profit organizations _x000D_
  Civil society/non-governmental organizations_x000D_
_x000D_
For this announcement, only Uzbekistan -based organizations are eligible to apply.</t>
  </si>
  <si>
    <t xml:space="preserve">The U.S. Embassy Tashkent Public Diplomacy Section (PDS) of the U.S. Department of State is pleased to announce funding is available through the Embassyâ€™s Democracy Commission Small Grants Program. This program supports the development of Uzbekistanâ€™s democratic institutions and civil society by competitively awarding small grants to Uzbekistanâ€™s nonprofit, nongovernmental organizations (NGOs) and associations, to nonprofit civil society organizations (CSOs), and to independent local media organizations. 
The Public Diplomacy Section (PDS) in Tashkent is soliciting proposals for grants from Uzbekistan civil society and independent media organizations that focus on one of the priority areas/themes specified below under Section C. Applicants should pay close attention to the Public Diplomacy Sectionâ€™s goals, priority program areas, target audiences when developing their proposals.
Please carefully follow all instructions below.
The submission of the SOI is the first step in a two-step process. Applicants must first submit a concise 3-page statement of interest designed to clearly communicate projects idea and objectives. This is not a full proposal and will not result in a federal assistance award at this step.
The purpose of the SOI process is to allow applicants to submit project ideas for evaluation prior to requiring the development of a full proposal application. Upon a merit review of eligible SOIs, selected applicants will be invited to expand on their project idea(s) by submitting a full proposal application. Full proposals will go through a second merit review before final funding decision(s) are made. </t>
  </si>
  <si>
    <t>HIV Prevention Among Adolescent Girls and Young Women and Other Vulnerable Youth Populations - DREAMS South</t>
  </si>
  <si>
    <t>USAID-SAF</t>
  </si>
  <si>
    <t>South Africa USAID-Pretoria</t>
  </si>
  <si>
    <t>Others (see text field entitled "Additional Information on Eligibility" for clarification) Eligibility for this award is restricted to local (South Africa) entities; please refer to this Notice of Funding Opportunity (NOFO) for eligibility requirements.</t>
  </si>
  <si>
    <t>The goal of the Activity "HIV Prevention Among Adolescent Girls and Young Women and Other Vulnerable Youth Populations - DREAMS South" is to: substantially lower HIV incidence among adolescent girls and young women (AGYW) ages 10-24 in the below geographic areas of highest HIV incidence and prevalence. It is envisioned that this goal will be achieved by improving AGYW access to a comprehensive package of evidence-based/informed, age-appropriate prevention interventions that address biological, behavioral, and socio-economic determinants of HIV risk, and by prioritizing the supply of contraception, STI treatment, and Post Exposure Prophylaxis (PEP).
ï»¿This Activity is anticipated to encompass four provinces: KwaZulu Natal (King Cetshwayo and Ugu), Free State (Lejweleputswa and Thabo Mofutsanyane), Eastern Cape (Alfred Nzo and Buffalo City), and Western Cape (City of Cape Town)</t>
  </si>
  <si>
    <t>2025 Alumni Engagement Innovation Fund (AEIF 2025)</t>
  </si>
  <si>
    <t>DOS-FRA</t>
  </si>
  <si>
    <t>U.S. Mission to France</t>
  </si>
  <si>
    <t>The Mission of the United States in France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of the Notice of Funding Opportunity PDS-France-FY2025-01. The U.S. Mission will evaluate all proposals and recommend one to three proposals for funding by the Department of Stateâ€™s Bureau of Educational and Cultural Affairs (ECA). Projects will be evaluated by ECA against proposals received from alumni around the world. 
AEIF provides alumni of U.S. government-sponsored and facilitated exchange programs with funding to expand on skills gained during their exchange experience to design and implement innovative solutions to global challenges facing their community. This year, U.S. Mission to France will accept public service projects proposed and managed by teams of at least two (2) alumni that support U.S. - France cooperation and leadership on global challenges: Sports Diplomacy; Shared Democratic Values and Interests; Civic Education; Diversity and Inclusion; Cultural Diplomacy; Media Literacy; Prosperity, Trade, and Investment; Science, Health, Technology and Innovation; Security and Defense; Foreign Policy; Climate Change and Environmental Sustainability.
Most of the project activities must take place in France (Cross-border projects are possible but will require additional validation by correspondent U.S. Mission). All project activities must take place outside of the United States and its territories. Projects must have a Franco-American component or perspective.
Application materials (found at the bottom of this page) must be submitted in English to GrantsFrance@state.gov by February 21, 2025, 18:00 Local Time (France). For more information, eligibility, and deadlines please read the Notice of Funding Opportunity PDS-France-FY2025-01 AEIF.
The U.S. Mission to France will be holding an online informative presentation for alumni to provide additional information and details about the 2025 Alumni Engagement Innovation Fund, on Thursday, January 23, 2025, at 11:30 am. Please note that we do not provide any pre-consultation for application related questions that are addressed in the Notice of Funding Opportunity</t>
  </si>
  <si>
    <t>Institute of Education Sciences (IES): National Center for Education Research (NCER):   Research Education Research and Development Center Program, Assistance Listing Number (ALN) 84.305C</t>
  </si>
  <si>
    <t>ED</t>
  </si>
  <si>
    <t>Department of Education</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</si>
  <si>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Through the Education Research and Development Center Program, the Institute of Education Sciences (IES) funds Research and Development (R D) centers to conduct a focused program of research that will contribute to solving a specific education problem and generate new knowledge in their topic area; provide national leadership, research training, capacity building, and outreach within their topic area; and conduct relatively rapid research and scholarship on supplemental questions that emerge within their topic area. 
Assistance Listing Number (ALN) 84.305C.</t>
  </si>
  <si>
    <t>DOS-MKD</t>
  </si>
  <si>
    <t>U.S. Mission to North Macedonia</t>
  </si>
  <si>
    <t>U.S. Embassy Buenos Aires PAS Strategic Programs</t>
  </si>
  <si>
    <t>DOS-ARG</t>
  </si>
  <si>
    <t>U.S. Mission to Argentina</t>
  </si>
  <si>
    <t>Others (see text field entitled "Additional Information on Eligibility" for clarification) Academic, cultural, educational, and other non-profit organizations and/or individuals</t>
  </si>
  <si>
    <t xml:space="preserve">A. PROGRAM DESCRIPTION
 The U.S. Embassy Argentina Public Affairs Section (PAS) of the U.S. Department of State is pleased to announce its Public Diplomacy Annual Call for Strategic Programs. This statement outlines our funding priorities, strategic themes, and procedures for submitting requests for funding. Different submission deadlines apply for each of the projects described. Please read and follow all the instructions below.
Purpose: PAS invites proposals from academic, cultural, educational, and other non-profit organizations and/or individuals that strictly adhere to the U.S. Embassy goals and objectives described for each of the programs below.
PAS will evaluate those proposals that focus exclusively on the development of one or more of the following strategic programs: 
A) Title: Academy of Women Entrepreneurs (AWE):
Duration: 12-weeks.
Start date: Between May to September 2025. 
Objective: Program to train up to two cohorts of Argentine women in entrepreneurial concepts in up to two Argentine provinces: Santa Fe (30 participants), and Santiago del Estero (20 participants). The applicant shall provide the participants with insights in marketing, soft skills, management trends, strategic planning, and motivational skills.
Strategic Goal: Shared prosperity and economic development. Human Rights, Womenâ€™s Economic Empowerment.
Maximum amount to fund: US$50,000
Proposal Submission Deadline: February 28, 2025.
B) Title: Study of the United States Program:
Duration: 10-months (one academic year). 
Implementation: August 2025 to December 2026
Objective: To offer in depth knowledge and expertise on contemporary U.S. values, institutions, and policies, focusing on foreign policy and national security issues, by organizing courses, seminars and conferences oriented both for university students, graduate, and future opinion leaders following their studies. The program will be led by an American professor and by a local professor trained in the United States.
Areas of implementation: Argentine provinces and City of Buenos Aires
Strategic Goal: Good governance. Shared democratic principles. Education. Future opinion leaders.
Number of awards: PAS plans to issue multiple awards.
Maximum amount per award: US$20,000
Maximum total amount to fund: US$120,000 (This total is for all the awards combined)
Proposal Submission Deadline: March 31, 2025.
To apply, it is recommended -optional, not mandatory- to use the â€œFormulario de Postulacionâ€ attached.
The full text of the call can be found attached. </t>
  </si>
  <si>
    <t>ROSES 2024: A.52 Advanced Component Technology</t>
  </si>
  <si>
    <t>NASA-HQ</t>
  </si>
  <si>
    <t>NASA Headquarters</t>
  </si>
  <si>
    <t>Others (see text field entitled "Additional Information on Eligibility" for clarification) Proposers must be affiliated with an institution at nspires.nasaprs.com/ and, in general, NASA provides funding only to U.S. institutions. Organizations outside the U.S. that propose on the basis of a policy of no-exchange-of-funds; consult the NASA Proposer s Guide (https://www.nasa.gov/general/grants-policy-and-compliance-team/ - section-2) for specific details. Some NRAs may be issued jointly with a non-U.S. organization, e.g., those concerning guest observing programs for jointly sponsored space science programs, that will contain additional special guidelines for non-U.S. participants. Also reference the Proposer s Guide for special instructions for proposals from non-U.S. organizations that involve U.S. personnel for whom NASA support is requested.</t>
  </si>
  <si>
    <t xml:space="preserve">Please note that this program requests optional Notices of Intent, which are due via NSPIRES by February 18,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</si>
  <si>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OJJDP FY25 Enhancing Youth Defense</t>
  </si>
  <si>
    <t>USDOJ-OJP-OJJDP</t>
  </si>
  <si>
    <t xml:space="preserve">Office of Juvenile Justice Delinquency Prevention </t>
  </si>
  <si>
    <t>State governments Other Units of Local Government: For the purposes of this notice of funding opportunity, other units of local government include towns, boroughs, parishes, villages, or other general purpose political subdivisions of a state.</t>
  </si>
  <si>
    <t>This funding opportunity seeks to implement youth defense system efforts that strengthen and improve the representation of youth involved in the juvenile justice system. This program supports organizations providing public defense services through a combination of direct grants and national training and technical assistance to implement sustainable system improvements that result in improved youth outcomes, reduced recidivism, safer communities, cost savings, and increased public confidence in the juvenile justice system.</t>
  </si>
  <si>
    <t>FY 2025 Community College Initiative Program</t>
  </si>
  <si>
    <t>DOS-ECA</t>
  </si>
  <si>
    <t>Bureau Of Educational and Cultural Affairs</t>
  </si>
  <si>
    <t>The Office of Global Educational Programs of the Bureau of Educational and Cultural Affairs (ECA) of the U.S. Department of State announces an open competition for the FY 2025 Community College Initiative (CCI) Program. ECA is seeking proposal submissions for one cooperative agreement to design, implement, and oversee the CCI Program. The CCI Program aims to bring foreign emerging leaders for an intensive program at accredited U.S. community colleges, focused on building technical and professional skills while deepening participantsâ€™ understanding of the United States, its people, and its values. CCI participants may study at a U.S. community college for up to one academic year and are often from underrepresented audiences. Program content, duration of study, and participating countries will align with U.S. foreign policy priorities and emerging global workforce demands. U.S. public and private non-profit organizations meeting the provisions described in Internal Revenue Code section 26 USC 501(c)(3) that represent consortia or other combinations of accredited U.S. community colleges may submit only one proposal to cooperate with the Bureau under this competition. Only one proposal will be considered by ECA from each applicant organization. In cases where more than one submission from an applicant appears in grants.gov, ECA will only consider the submission made closest in time to the NOFO deadline; that submission would constitute the one and only proposal ECA would review from that applicant. Please see the announcement for additional information.</t>
  </si>
  <si>
    <t>NM FY25 IIJA/IRA Bureau of Land Management New Mexico Rangeland Resource Management</t>
  </si>
  <si>
    <t>DOI-BLM</t>
  </si>
  <si>
    <t>Bureau of Land Management</t>
  </si>
  <si>
    <t>Public and State controlled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</si>
  <si>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The Rangeland Management program conducts inventories, assessments and evaluations of soil and vegetation conditions and land health. Monitoring data is collected and analyzed to ensure progress toward meeting land health standards.Funded projects under this program will focus on high priority work effecting the program nationally by crossing state boundaries, such as, activities that support maintaining or achieving land health and productivity, increasing carbon sequestration, and creating resilient landscapes to benefit current and future generations. These activities could include, but are not limited to, such things as: Facilitating the conservation and restoration of rangelands to combat climate change.Soils mapping and development of ecological site descriptions.Engagement of community members and other stakeholders, through mentoring, training, and educational programs.</t>
  </si>
  <si>
    <t>American Schools and Hospitals Abroad Program Worldwide</t>
  </si>
  <si>
    <t>USAID</t>
  </si>
  <si>
    <t>Agency for International Development</t>
  </si>
  <si>
    <t>Others (see text field entitled "Additional Information on Eligibility" for clarification) Please see the RFA document for full information regarding eligibility.</t>
  </si>
  <si>
    <t>ASHA's Fiscal Year 2025 draft Request for Applications (RFA) is available for Public Comment on grants.gov from December 20, 2024 until January 17, 2025.Please submit comments to ASHAapplications@usaid.gov by January 17, 2025 at 4pm EST. Comments will not be accepted through the grants.gov portal.After ASHA receives and responds to public comments, the official RFA will be posted to grants.gov. The deadlines for the Question and Answer (Q A) period and the Phase 1 application submission will be listed in the official RFA.</t>
  </si>
  <si>
    <t>Next Generation of Academia-Based Cyber Research, Development, and Demonstration (RD D)</t>
  </si>
  <si>
    <t>DOE-NETL</t>
  </si>
  <si>
    <t>National Energy Technology Laboratory</t>
  </si>
  <si>
    <t>Next Generation of Academia-Based Cyber Research, Development, and Demonstration (RD&amp;D)
University-Based R&amp;D program NOFO will support efforts to efficiently develop and ultimately integrate cybersecurity tools and technologies into energy infrastructure for enhanced resilience. This open NOFO is structured to cover a 5-year period, allowing for ongoing participation and evaluation.</t>
  </si>
  <si>
    <t>Defense Innovation OnRamp</t>
  </si>
  <si>
    <t>DOD-WHS</t>
  </si>
  <si>
    <t>Washington Headquarters Services</t>
  </si>
  <si>
    <t>Others (see text field entitled "Additional Information on Eligibility" for clarification) Only U.S. organizations are eligible.</t>
  </si>
  <si>
    <t xml:space="preserve">The Defense Innovation Unit (DIU), Office of the Secretary of Defense, is interested in receiving proposals for its Defense Innovation OnRamp. DIU is building a unified Defense Innovation OnRamp, which will include Flagship DIU offices, physical presence via a distributed team, physical and digital OnRamp Hubs, and other relationships with the academic, startup, and commercial sectors to enable non-traditional, dual-use, and/or commercial technology companies to work with the Department of Defense to rapidly support warfighter needs.
The Defense Innovation Unit is focused on strengthening the national security innovation base by lowering the barriers to entry for talent and non-traditional companies to work with DoD. The Defense Innovation OnRamp is a core part of DIUâ€™s strategy to develop a robust regional presence in order to tap into the extant commercial technology ecosystems and innovation base. This strategy includes distributed DIU offices, a regional team, OnRamp Hubs, and other relationships with the academic, startup and commercial sectors. At present, DIU operates out of 5 regional offices, has approximately 30 regionally focused representatives, and partners with over 100 universities. In the last year, DIU, with extensive support from Congress, established five OnRamp Hubs in Phoenix, Arizona; Dayton, Ohio; Honolulu, Hawaii; Seattle, Washington, and Wichita, Kansas. 
The recipient(s) will design, develop and manage a network of offices, physical and digital hubs, and other collaborative partnerships and projects designed to lower the barriers for entry for commercial and dual-use technology into the DoD. This will involve collaboration between a diverse set of stakeholders including private industry, private capital, research organizations, government stakeholders, academia, regional economic development organizations, DoD mission partners, other government entities, and others, with the intent of sourcing, developing, and executing viable solutions that lower entry barriers while attracting and helping scale new commercial technology and talent into the national security innovation base. The recipient(s) sought for this NFO will provide direction to improve the ways in which non-traditional companies and talent can work with the Department of Defense and grow regional defense innovation ecosystems, and oversee the execution. These efforts should be aligned with the types of commercial and dual-use technology that DIU is bringing into the Department with the speed and scale required for strategic effect. DIU will expect recipient(s) of this award to provide infrastructure for the Defense Innovation OnRamp. This could include areas such as coordination, knowledge sharing, resource management, ensuring standardization of tools and governance, and conducting regular performance management for work through this effort. The recipient(s) will also oversee and/or coordinate projects led by other organizations that address barriers for working with DoD, and through that, enhance the national security innovation base through regionally-driven efforts. These will include the ability to oversee collaborative initiatives and teams from DoD, industry, academia, government, and other key stakeholders; development of regional ecosystems; expertise in obtaining the necessary resources from DoD and industry resource sponsors; and public-private partnerships.
</t>
  </si>
  <si>
    <t>NM FY25 IIJA/IRA Bureau of Land Management New Mexico Wildlife Program</t>
  </si>
  <si>
    <t>The BLM New Mexico Wildlife Program advances the Department of the Interior's priorities to address the climate crisis, restore balance on public lands and waters, advance environmental justice, and invest in a clean energy future. Specific BLM New Mexico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New Mexico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</si>
  <si>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NM FY25 IIJA/IRA Bureau of Land Management New Mexico Plant Conservation and Restoration Management</t>
  </si>
  <si>
    <t>The BLM New Mexico Plant Conservation and Restoration Program advances the Department of the Interior's priorities to address the climate crisis, restore balance on public lands and waters, advance environmental justice, and invest in a clean energy future. In 2025 the New Mexico BLM is focused on meeting the priorities of the National Seed Strategy (www.blm.gov/seedstrategy).The BLM New Mexico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BLM New Mexico has opportunities to work with partner organizations to do activities such as:Reduce the threats to sage grouse, rare plants, and other sensitive species in high priority habitats by supporting efforts to restore habitat for keystone wildlife and pollinator .Working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</si>
  <si>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ROSES 2024: E.9 Space Biology: Research Studies</t>
  </si>
  <si>
    <t xml:space="preserve">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</si>
  <si>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Child Protection Activity</t>
  </si>
  <si>
    <t>USAID-WAF</t>
  </si>
  <si>
    <t>West Africa USAID-Ghana</t>
  </si>
  <si>
    <t>Others (see text field entitled "Additional Information on Eligibility" for clarification) Eligibility for this NOFO is not restricted. It is open to all entities that can meet the requirements to receive USAID assistance. Organizations eligible to apply under this NOFO include, but are not necessarily limited to, U.S. and non-US non-profit or for profit non-governmental organizations (NGOs), private voluntary organizations, foundations, colleges and universities, civic groups, community institutions, philanthropic organizations, advocacy groups and faith-based organizations. All listed categories of organizations including faith-based entities are eligible to apply for federal financial assistance on the same basis as any other organization and are subject to the protections and requirements of Federal law._x000D_
_x000D_
Additionally, USAID welcomes applications from organizations that have not previously received financial assistance from USAID._x000D_
_x000D_
For profit applicants should note that USAID policy prohibits the payment of fee/profit to the prime recipient under grants and cooperative agreements.</t>
  </si>
  <si>
    <t>USAID will support implementing partners who can identify and propose evidence-based, child-centered interventions that strengthen systems, communities and families, and enhance the resilience of families to provide safe and nurturing care for their children.The activity will support interventions that align with the U.S. Government's Advancing Protection and Care for Children in Adversity Strategy, the 2020 - 2025 USAID Ghana Country Development Cooperation Strategy (CDCS), and the Government of Ghanaâ€™s strategic plans on child protection, development, and care such as the Early Childhood Care and Development Policy, the Child and Family Welfare Policy, the National Strategic Framework on Ending Child Marriage in Ghana, and the National Care Reform Roadmap, Ghana Accelerated Action Plan Against Child Labor, among others. The activity will be implemented in selected areas in Northern, North-East, Savannah, Upper East, and Greater Accra regions.</t>
  </si>
  <si>
    <t>Advancing Anti-Corruption in Peru</t>
  </si>
  <si>
    <t>DOS-INL</t>
  </si>
  <si>
    <t>Bureau of International Narcotics-Law Enforcement</t>
  </si>
  <si>
    <t>Others (see text field entitled "Additional Information on Eligibility" for clarification) Eligibility for this NOFO is limited to organizations that were directly invited by INL to submit an application</t>
  </si>
  <si>
    <t>Eligibility for this NOFO is limited to organizations that were directly invited by INL to submit an application.The Bureau of International Narcotics and Law Enforcement Affairs of the U.S. Department of State announces a funding opportunity for invited organizations to submit applications to carry out a project to strengthen civil society organizations in Peru to identify, analyze, expose, and fight against corruption and impunity. INL seeks to create a solid foundation for a comprehensive effort to identify and expose corrupt acts and impunity through the development of civil society organizationâ€™s in Peru to hold government institutions accountable.</t>
  </si>
  <si>
    <t>NM FY25 IIJA/IRA Bureau of Land Management New Mexico Environmental Quality Protection</t>
  </si>
  <si>
    <t>The Bureau of Land Management (BLM) and its partners mitigate hazards to protect public health and safety and the environment, and restore watersheds for resources, recreation, fish, wildlife and domestic animals, and manage air quality for the protection of public health and sensitive ecosystems, and return lands to productive uses including, but not limited to, recreation, fish and wildlife habitat, and preservation of historical/cultural resources. Extractive industry activities of the past, including underground and surface mining and releases of hazardous substances from degraded watersheds and air-sheds on public lands throughout New Mexico, have contributed to degradation of natural resources. Unrestored sites may pose a threat to wildlife, biota, groundwater, surface water, and soil as well as to risks to the health and safety of public land users.  This program supports projects funded through the Infrastructure Investment and Jobs Act (IIJA), Public Law 117-169, Subtitle B- National Resources, Sections 50221, NPS and Public Lands Conservation and Resilience, and 50222, NPS and Public Lands Conservation and Ecosystem Restoration. This program supports projects funded through the Inflation Reduction Act (IRA), Sections 50221 Resilience, 50222 Ecosystems Restoration and 50303 DOI.Mitigation measures are implemented through core programs such as: the Abandoned Mine Lands (AML) program, which addresses physical safety hazards and contamination posing risk to human health and/or the environment through remediation and restoration of abandoned hardrock mines, and releases of hazardous substances, and educational outreach about the potential dangers posed to the public and recreation activities.The AML program identifies and inventories abandoned hardrock mines, prioritizes those mines that pose a risk to public safety, human health, and the environment, and seeks funding to address those high risk mine features and sites.  Specifically, the AML program addresses physical safety hazards through a variety of closure methods including fencing, signing, back filling, installation of bat-friendly grates, etc., and addresses risks to human health and the environment through a variety of removal and remedial response actions. The AML and Natural Resource Damage and Restoration (NRD) programs also work to restore abandoned hardrock mines sites and restore the Nation's watersheds impacted by abandoned mines through a risk-reduction based watershed approach that uses partnerships to effectively leverage funding and facilitate projects; and reduces environmental degradation caused by abandoned mines to ensure compliance with all applicable soil, water, and air quality standards, and applicable Federal, State, Tribal, and local laws and regulations. For the NRD program, and any actions taken pursuant to BLMâ€™s authority under the Comprehensive Environmental Response, Compensation and Liability Act, potentially responsible parties must be investigated.The BLM estimates there are over 130,000 abandoned mine features located on BLM-administered land, many of which will need mitigation to protect human health and the environment, increase public safety and reduce environmental liabilities by eliminating or minimizing risk. In compliance with all applicable soil, water and air quality standards, and Federal State, Tribal and local laws and regulations, the BLM seeks to develop partnerships with States, local governments, Tribal Nations, and voluntary environmental and citizen groups. In addition, BLM seeks to return lands to productive uses including, but not limited to, recreation, fish and wildlife habitat, and preservation of historical/cultural resources. These partnerships will provide financial assistance, through cooperative agreements to protect surface water, groundwater, soil, sediment and air from abandoned mine sites, address releases of hazardous substances, safeguard dangerous mine sites, and restore sites.</t>
  </si>
  <si>
    <t>NM FY25 IIJA/IRA Bureau of Land Management New Mexico Threatened and Endangered Species Program</t>
  </si>
  <si>
    <t>City or township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</si>
  <si>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BLM New Mexico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New Mexico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</si>
  <si>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NM FY25 IIJA/IRA Bureau of Land Management New Mexico Cultural and Paleontological Resource Management</t>
  </si>
  <si>
    <t>Private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</si>
  <si>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Broadly, the objective is to develop partnerships to improve access to, and use of, heritage resources, and promote their educational, scientific, cultural, and recreational values in a manner that meets U.S. Department of the Interior priorities and Cultural Heritage and Paleontology Program goals. Individual projects shall meet one or more of the following objectives.Conduct studies, including inventory, excavation, records research, and collections-based research to improve the understanding of Americaâ€™s natural and cultural history;Monitor at-risk heritage resources to track trends in condition and project effectiveness;Stabilize at-risk heritage resources;Train future cultural resource management practitioners and paleontologists through research projects, field schools and internships that highlight BLM resources;Assist with cultural heritage data and records management activities such as organizing, maintaining, and scanning site and survey records; creating, digitizing and maintaining geospatial data; and performing data entry;Preserve existing collections at recognized curation facilities through such activities as archival housing, stabilization or conservation;Broaden public access to museum collections;Promote engagement with Native American communities and foster partnerships with tribal governments and programs;Promote public engagement, learning opportunities, and conservation/preservation ethics through heritage resources education and outreach programs, events, and products;Develop and maintain historic sites with interpretive and educational potential.Partner to support BLMâ€™s Tribal consultation efforts</t>
  </si>
  <si>
    <t>NM FY25 IIJA/IRA Bureau of Land Management New Mexico Recreation and Visitor Services</t>
  </si>
  <si>
    <t>Nonprofits that do not have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</si>
  <si>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Program Strategic Goals: The Recreation and Visitor Services Program provides a wide variety of recreational opportunities that benefit the public and local communities. The program is also responsible for implementing Administration and Department priorities, including projects to improve racial equity, diversity and inclusion; help strengthen the U.S. economy; and reduce impacts to the environment and climate. The program is also prioritizing implementation of the Inflation Reduction Act; the Infrastructure Investment and Jobs Act; the Great American Outdoors Act; the John D. Dingell, Jr. Conservation, Management, and Recreation Act; Executive Order (E.O.) 13985, Advancing Racial Equity and Support for Underserved Communities Through the Federal Government; and E.O. 14008, Tackling the Climate Crisis at Home and Abroad.In fiscal year 2025, the BLM will support the Departmentâ€™s priorities by focusing on projects that build healthy communities and economies, advance environmental justice, address the climate crisis, and provide safe and equitable access to outdoor recreation opportunities for all Americans. These projects will:Connect with youth, tribes, and underserved communities to foster public lands stewardship.Enhance access to quality outdoor recreation activities while promoting climate resiliency.Identify and remove barriers to outdoor recreation and expand recreation opportunities for all.Provide an enhanced, more sustainable recreational experience by delivering up-to-date and engaging visitor information online and in person.</t>
  </si>
  <si>
    <t>Multi-Project Video Production Services</t>
  </si>
  <si>
    <t>USDOJ-BOP-NIC</t>
  </si>
  <si>
    <t>National Institute of Corrections</t>
  </si>
  <si>
    <t>Others (see text field entitled "Additional Information on Eligibility" for clarification) THIS IS NOT A REQUEST FOR APPLICATIONS. This announcement is to provide notice of the continuation of funding for cooperative agreement award 22CS27GLM1.</t>
  </si>
  <si>
    <t>THIS IS NOT A REQUEST FOR APPLICATIONS. This announcement is to provide notice of the continuation of funding for cooperative agreement award 22CS27GLM1.</t>
  </si>
  <si>
    <t>ROSES 2024: E.12 Physical Sciences Research Studies</t>
  </si>
  <si>
    <t>Brown Treesnake Program 2025 funding announcement</t>
  </si>
  <si>
    <t>DOI</t>
  </si>
  <si>
    <t>Department of the Interior</t>
  </si>
  <si>
    <t>Others (see text field entitled "Additional Information on Eligibility" for clarification) Eligible applicants are limited to members of the Brown Treesnake Technical Working Group which includes, but is not limited to, representatives of the governments of Guam, the Commonwealth Northern Mariana Islands, the State of Hawaii, and Federal Agencies, in accordance with 2 CFR 200.</t>
  </si>
  <si>
    <t>Grant funding from this program is for interdiction programs to prevent the spread of BTS to other islands, outreach programs to educate the public on BTS, as well as other projects for interdiction, landscape scale suppression, and early detection and rapid response.</t>
  </si>
  <si>
    <t>FY25 IIJA/IRA Bureau of Land Management Colorado Fuels Management and Community Fire Assistance</t>
  </si>
  <si>
    <t>BLM Colorado has an opportunity to work with partner organizations to assist with fuels management and community fire assistance program activities to reduce the risk and impact of catastrophic wildfires to local communities through coordination, reducing the amount of hazardous fuels, and furthering the education of landowners about wildfire prevention and mitigation. These activities will assist BLM in addressing the effects of climate change by working to create resilient landscapes and communities, will create jobs, and it will help further conservation and restoration efforts by providing an opportunity to support planning and implementation of hazardous fuels reduction projects in wildland urban interface (WUI) areas and education and outreach programs that help create fire adapted communities and resilient landscapes. This program supports the Infrastructure Investment and Jobs Act (IIJA) Public Law 117-58, Sec. 40803 Wildfire Risk Reduction. This program supports projects funded through the Inflation Reduction Act (IRA), Sections 50221 Resilience, 50222 Ecosystems Restoration and 50303 DOI. Colorado Program Strategic Goals: Accomplish fuels management activities on federal and non-federal land. Develop and implement fire education, training, and/or community action plans/programs. Conduct Community Wildfire Protection Plans (CWPPs), community wildfire assessments, and planning activities. Expand community capability to enhance local employment opportunities. Develop and implement short and long-term monitoring and maintenance plans for hazardous fuels reduction, community fire education and training, and community action programs.</t>
  </si>
  <si>
    <t>DOS-IDN</t>
  </si>
  <si>
    <t>U.S. Mission to Indonesia</t>
  </si>
  <si>
    <t>Others (see text field entitled "Additional Information on Eligibility" for clarification) Eligible Applicants   Applicants must be alumni of a U.S. government-funded exchange program (https://alumni.state.gov/list-exchange-programs) or a U.S. government-sponsored exchange program (https://j1visa.state.gov/).    Projects teams must include teams of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Not-for-profit, non-governmental organizations, think tanks, and academic institutions are not eligible to apply in the name of the organization but can serve as partners for implementing project activities.</t>
  </si>
  <si>
    <t>AEIF provides alumni of U.S. government-funded/sponsored exchange programs with funding to design and implement innovative solutions to global challenges facing their community. Since its inception in 2011, AEIF has funded over 500 alumni-led projects around the world through a competitive global competition. This year, AEIF will support the U.S.-Indonesia Comprehensive Strategic Partnership through educational, cultural, and informational programming that highlights shared values and promotes bilateral cooperation. The U.S. Mission to Indonesia will accept public service projects proposed and managed by teams of at least two (2) alumni that support the following themes: Economic developmentÂ· Environment sustainabilityÂ· Protection of human rightsÂ· Improvement of public healthÂ· Community involvement in peace, security, and governanceÂ· Prevention of terrorism and radicalization Activities that are not typically allowed include, but are not limited to: Programs relating to partisan political activity;Â· Construction programs;Â· Programs that support specific religious activities;Â· Fundraising campaigns;Â· Scientific research;Â· Citizen exchange programs with foreign countries but without a U.S. angle;Â· Projects that include international travel;Â· Projects to create or develop web-based applications or any type of publication.</t>
  </si>
  <si>
    <t>DRL FY24 Supporting Civil Society Advocacy and Resilience  in Sri Lanka</t>
  </si>
  <si>
    <t>Others (see text field entitled "Additional Information on Eligibility" for clarification) DRL welcomes applications from U.S.-based and foreign-based non-profit organizations/nongovernmental organizations (NGO) and public international organizations; private, public, or state institutions of higher education; and for-profit organizations or businesses.  DRL s preference is to work with non-profit entities; however, there may be some occasions when a for-profit entity is best suited.</t>
  </si>
  <si>
    <t>The U.S. Department of State, Bureau of Democracy, Human Rights, and Labor (DRL) announces an open competition for organizations interested in submitting applications for a project that aims to build collective civil society resilience and enable better advocacy initiatives to create a thriving civic space in Sri Lanka.</t>
  </si>
  <si>
    <t>FY25 U.S. Department of Justice Coordinated Tribal Assistance Solicitation</t>
  </si>
  <si>
    <t>Others (see text field entitled "Additional Information on Eligibility" for clarification) Consortia consisting of two or more federally recognized Indian Tribes; Tribal designees are eligible for certain activities related to OVC PA #6</t>
  </si>
  <si>
    <t>The Coordinated Tribal Assistance Solicitation (CTAS) responds to tribal leadersâ€™ requests to improve and simplify the DOJ grant-making process. Since fiscal year (FY) 2010, DOJ has combined existing tribal government-specific competitive funding opportunities into one and required only one application from each tribe or tribal consortium under CTAS. This approach provides federally recognized tribes and tribal consortia the opportunity to develop a comprehensive approach to public safety and victimization issues.
The FY 2025 CTAS refers to DOJâ€™s tribal government-specific competitive grant programs as purpose areas (PA). Applicants may select the PA(s) that best address their tribeâ€™s concerns about public safety; criminal and juvenile justice; substance use-related crime and access to treatment and recovery support, including Tribal healing to wellness courts; and the needs of victims and survivors of domestic violence, sexual assault, dating violence, and stalking. The DOJ components offering tribal government grant resources through the PAs are listed below.
Applicants should refer to the Purpose Area Specific information on focus areas/funding priorities and allowable and unallowable costs that may inform the development of their project design.</t>
  </si>
  <si>
    <t>Alumni Engagement Innovation Fund 2025 Call for Proposals</t>
  </si>
  <si>
    <t>DOS-JAM</t>
  </si>
  <si>
    <t>U.S. Mission to Jamaica</t>
  </si>
  <si>
    <t>Others (see text field entitled "Additional Information on Eligibility" for clarification)  	Alumni who participated in a U.S. government-sponsored exchange program. 
 	Alumni Associations from countries with current U.S. representation. 
 	Public Diplomacy Sections partnering with alumni in support of Mission goals.</t>
  </si>
  <si>
    <t>The U.S. Embassy, Kingstonâ€™s Public Diplomacy Section (PDS) in collaboration with The Bureau of Educational and Cultural Affairs' (ECA) Office of Alumni Affairs (ECA/P/A) is pleased to announce that funding is available through its Alumni Engagement Innovation Fund (AEIF). This call for proposals outlines the funding priorities, strategic themes, and the application submission procedures. The deadline allows for sufficient time to process and award programs. Please carefully follow all instructions below. 
This annual funding opportunity is designed to strengthen the U.S. government's relationship with exchange alumni, advance foreign policy goals and amplify the U.S. government's return on investment in exchange programs. Pending availability of funds, AEIF will consider proposals between $5,000 and $35,000. The submission deadline for proposals is February 14, 2025.
Since 2011, the U.S. Department of State has supported over 500 impactful projects through AEIF, empowering Exchange Alumni to foster collaboration, advance U.S. foreign policy goals, and strengthen communities worldwide.
U.S. Embassy Kingston invites proposals addressing one or more of these priorities:
- Alumni Collaboration: Build networks and increase regional or global cooperation among Exchange Alumni.
- Strengthen U.S.-Jamaica Ties: Foster activities aligned with bilateral goals and mutual challenges.
- Community Development: Empower alumni to implement projects that enhance leadership and benefit their communities.
Eligibility: Proposals must involve at least two Exchange Alumni or an alumni association, be led by a non-U.S. citizen Exchange Alumni, and take place outside the U.S.
Successful applicants will collaborate with U.S. Embassy Kingston during the project implementation.</t>
  </si>
  <si>
    <t>Rural and Tribal Assistance Pilot Program NOFO</t>
  </si>
  <si>
    <t>DOT-DOT X-50</t>
  </si>
  <si>
    <t>69A345 Office of the Under Secretary for Policy</t>
  </si>
  <si>
    <t>The purpose of this notice is to solicit applications for Rural and Tribal Assistance (RTA) Pilot Program grants. A total of $27 million is available to award for planning and design phase activities for developing transportation projects in rural or tribal communities. Grants will support hiring staff or expert firms to provide technical, legal, or financial assistance to advance transportation projects that would be reasonably expected to be eligible for select Department of Transportation discretionary grant or credit programs. There is no local match required to participate in this program.  
Grants are awarded on a first-come, first-served basis to eligible applicants with an eligible project who meet the merit criteria described in the Notice of Funding Opportunity. The application form to apply for Program funding will be available beginning at 2:00 p.m. ET on March 4, 2025 on the Program's webpage: https://www.transportation.gov/buildamerica/RuralandTribalGrants. This is the only place where applications can be submitted and will be accepted. Do not submit applications through grants.gov. A pdf (one each for Single Project and Multi-Community grants) of the application questions is included in the NOFO package available under the "Related Documents" tab of this grants.gov page and is also available on the Program's webpage link above. 
Two types of grants will be awarded: Single Project grants and Multi-Community grants, which will fund projects in, at minimum, three separate communities submitted under a single application. 
 Single Project grants: $10 million available to award 
 Min. award amount: $200,000 
 Max. award amount: $750,000 
 Multi-Community grants: $17 million available to award 
 Min. award amount: $500,000 
 Max. award amount: $2.25 million 
$10 million of Program funding is set aside for tribal governments. 
Applicants are strongly encouraged to apply early, given the first-come, first-served award process. The application portal will close at 4:59 p.m. ET on April 3, 2025; however, award funding may be committed before this date. 
** The Infrastructure Investment and Jobs Act (Public Law 117-58, also referred to as the Bipartisan Infrastructure Law or BIL) is a generational investment in the nationâ€™s transportation system. Section 21205 of Division B of the BIL (Rural and Tribal Infrastructure Advancement) creates a pilot program to provide grants to fund financial, technical, and legal assistance to states and rural and tribal communities.</t>
  </si>
  <si>
    <t>APEX Accelerator Program Open Announcement for Massachusetts and Indiana</t>
  </si>
  <si>
    <t>DOD-AMC-ACCAPGADA</t>
  </si>
  <si>
    <t>ACC-APG-Aberdeen Division A</t>
  </si>
  <si>
    <t>This funding opportunity is for new cooperative agreement awards to eligible entities to serve the states of Massachusetts or Indiana.</t>
  </si>
  <si>
    <t>DOS-LUX</t>
  </si>
  <si>
    <t>U.S. Mission to Luxembourg</t>
  </si>
  <si>
    <t>FY25 IIJA/IRA Bureau of Land Management Headquarters (HQ) Plant Conservation and Restoration Management</t>
  </si>
  <si>
    <t>The BLM Headquarters (HQ) Plant Conservation and Restoration Program advances the Department of the Interior's priorities to address the climate crisis, restore balance on public lands and waters, advance environmental justice, and invest in a clean energy future. In 2025 the Headquarters (HQ) BLM is focused on meeting the priorities of the National Seed Strategy (www.blm.gov/seedstrategy).The BLM Headquarters (HQ)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Headquarters (HQ) BLM has opportunities to work with partner organizations to do activities such as:Reduce the threats to sage grouse, rare plants, and other sensitive species in high priority habitats by supporting efforts to restore habitat for keystone wildlife and pollinator .Working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</si>
  <si>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DOE-01</t>
  </si>
  <si>
    <t>Headquarters</t>
  </si>
  <si>
    <t>FY 2025 PRM Request for Concept Notes for Global Innovation Programs to Address Gender-based Violence for Conflict-Affected People</t>
  </si>
  <si>
    <t>Others (see text field entitled "Additional Information on Eligibility" for clarification) i.	Nonprofits having a 501(c)(3) status with the IRS, other than institutions of higher education_x000D_
_x000D_
ii.	Nonprofits that do not have a 501(c)(3) status with the IRS, other than institutions of higher education_x000D_
_x000D_
iii.	International Organizations.  International multilateral organizations, such as United Nations agencies, should not submit proposals through Grants.gov in response to this Notice of Funding Opportunity announcement.  Multilateral organizations that are seeking funding for programs relevant to this announcement should contact the PRM Program Officer (as listed below) on or before the closing date of the funding announcement._x000D_
_x000D_
iv.	Public and State controlled institutions of higher education_x000D_
_x000D_
v.	Private institutions of higher education</t>
  </si>
  <si>
    <t>This announcement invites submissions for innovation in preventing and responding to gender-based violence (GBV). PRM seeks concept notes that advance GBV programs and practices in the field, focusing on global initiatives that improve the quality and accessibility of services for women, girls, and GBV survivors. PRM will prioritize submissions that: Contribute to a broader evidence-base.Build on current standards to document good practices for the wider humanitarian community. Promote inter-agency and inter-sectoral leadership.Improve coordination at global and field levels.Applicants should refer to the IASCâ€™s Guidelines for Gender-based Violence Interventions for Humanitarian Settings and the Inter-Agency Minimum Standards for Gender-Based Violence in Emergencies Programming, as applicable. Due to PRM's mandate to protect, assist, and find sustainable solutions for refugees and conflict victims, PRM will only fund those projects where at least 50 percent of the participants are refugees (including country case studies). Single-country GBV service provision concept notes will not be considered.</t>
  </si>
  <si>
    <t>U.S. Embassy Ethiopia, PD Request for Statement of Interest</t>
  </si>
  <si>
    <t>DOS-ETH</t>
  </si>
  <si>
    <t>U.S. Mission to Ethiopia</t>
  </si>
  <si>
    <t>Others (see text field entitled "Additional Information on Eligibility" for clarification)   Registered not-for-profit organizations, including think tanks and civil society/non-governmental_x000D_
organizations with programming experience._x000D_
  Non-profit or governmental educational institutions._x000D_
  Individuals will be considered, but priority is given to registered organizations and educational_x000D_
institutions with a proven track record of success._x000D_
For-profit or commercial entities, including for-profit media organizations, are not eligible to apply._x000D_
_x000D_
Other Eligibility Requirements_x000D_
_x000D_
  To be eligible to receive an award, all organizations must have a Unique Entity Identifier (UEI) number issued_x000D_
via www.SAM.gov as well as a valid registration on www.SAM.gov. Please see Section D.5 for more_x000D_
information. Individuals are not required to have a UEI or to be registered in SAM.gov._x000D_
_x000D_
  Applicants are only allowed to submit one SOI per organization. If more than one SOI is submitted from an_x000D_
organization, all SOIs from that institution will be considered ineligible for funding. (Exceptions are local and_x000D_
international universities.)</t>
  </si>
  <si>
    <t>PD Ethiopia invites SOIs for programs that strengthen cultural ties between the United States and Ethiopiathrough cultural, media, and exchange and programs that highlight shared values and promote bilateralcooperation. All programs must include an American cultural element or connection with U.S. experts,organizations, or institutions that will promote increased understanding of U.S. policies, values, andperspectives.PD grant programs include, but are not limited to:â€¢ Academic and professional lectures, seminars, and speaker programsâ€¢ Artistic and cultural workshops, performances, and exhibitionsâ€¢ Programs developed by alumni of U.S.- sponsored exchange and programsâ€¢ Programs that strengthen relationships between Ethiopian and U.S. universities, businesses, and/ororganizationsâ€¢ Media trainingThis request for SOIs is intended to inform individuals, non-governmental organizations, think tanks, andacademic institutions about opportunities from the Public Diplomacy section to support projects in at leastone of the following thematic areas:â€¢ Efforts to support Ethiopiaâ€™s economic and political reforms, including support for civil society,democracy, and governance, and/or election processesâ€¢ Helping media professionals, media educators, and the public learn how to discern reliable sources ofinformation and identify misinformation and disinformation, etc.â€¢ Promoting economic growth, especially via entrepreneurship, innovation, and promoting educationabout Science, Technology, Engineering, Arts, and Mathematics (STEAM)â€¢ Engaging emerging and under-represented populations, including youth, women, and persons withdisabilities through leadership, education, English language, culture, and other programsâ€¢ Promoting tolerance and peace through reintegration and reincorporation of under-representedpopulations including youth, women, persons with disabilities, and Internally Displaced Persons (IDPs)â€¢ Promoting fair and peaceful electionsâ€¢ Promoting effective leadership and civic engagementâ€¢ Promoting sustainable policies to protect the environment</t>
  </si>
  <si>
    <t>High-Assay Low-Enriched Uranium (HALEU) Nuclear Fuel Supply Chain Innovative Technology Notice of Funding Opportunity (NOFO)</t>
  </si>
  <si>
    <t>DOE-ID</t>
  </si>
  <si>
    <t>Idaho Field Office</t>
  </si>
  <si>
    <t xml:space="preserve">Nonprofits that do not have a 501(c)(3) status with the IRS, other than institutions of higher education </t>
  </si>
  <si>
    <t>High-Assay Low-Enriched Uranium (HALEU) Nuclear Fuel Supply Chain Innovative Technology Notice of Funding Opportunity:
This Notice Of Funding Opportunity (NOFO) seeks applications to address technological advancement across the front-end nuclear fuel cycle to ensure the development of a safe, sustainable and efficient supply chain of enriched uranium, enhancing current processes, and addressing technology gaps
â€¢	Topic Area 1: Up to two Demonstration Project awards 
â€¢	Topic Area 2: Four to ten Research and Development Project awards</t>
  </si>
  <si>
    <t>Empowering Guinea s Economic Resilience through Private Sector Partnerships</t>
  </si>
  <si>
    <t>USAID-GUI</t>
  </si>
  <si>
    <t>Guinea USAID-Conakry</t>
  </si>
  <si>
    <t>Through this Addendum to the Agency-wide Private Sector Collaboration Pathway (PSCP) Annual Program Statement (APS) No. 7200AA23APS00007 (the "PSCP APS"), USAID/Guinea is making a special call for public/private partnerships concepts submissions to address the above objectives under the US Government Strategy to Prevent Conflict and Promote Stability (SPCPS) framework. This call specifically targets private sector partnerships aimed at strengthening economic resilience and preventing conflict in the Kankan and N'Zerekore regions, with a particular focus on:â— Partnerships with mining companies to ensure transparent and equitable distribution of economic benefits.â— Agricultural value chain development in high-potential areas.â— Youth employment and skills development initiatives.â— Cross-border economic resilience programs.â— Infrastructure development and market access improvement.This targeted approach seeks to leverage private sector resources and expertise to address the underlying economic drivers of fragility, while promoting sustainable and inclusive growth in Guinea's most vulnerable regions.</t>
  </si>
  <si>
    <t>Others (see text field entitled "Additional Information on Eligibility" for clarification) The following organizations are eligible to apply:_x000D_
_x000D_
-Applicants must be alumni of a U.S. government-funded or sponsored exchange program or a U.S. government-sponsored exchange program (https://j1visa.state.gov/)._x000D_
_x000D_
-Projects teams must include teams of at least two (2) alumni._x000D_
_x000D_
-Alumni who are U.S. citizens may not submit proposals, but U.S. citizen alumni may participate as team members in a project._x000D_
_x000D_
-Alumni teams may be comprised of alumni from different exchange programs and different countries._x000D_
_x000D_
-Applications must be submitted by exchange alumni or alumni associations of USG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t>
  </si>
  <si>
    <t>The Public Diplomacy Section of the U.S. Embassy Luxembourg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LuxembourgGrants@state.gov by 1 February 2025. 
Priority Region: Luxembourg 
Program Objectives: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U.S. Embassy Luxembourg will accept public service projects proposed and managed by teams of at least two (2) alumni that support themes such as: 
 Bolstering shared security and defense 
 Advancing shared values, Advancing women and girlâ€™s empowerment 
 Reinforcing Democratic Values and Human Rights 
 Engaging students in English and promoting Educational Opportunities 
 Accelerating STEM and Climate Ambitions 
 Fostering U.S.-Luxembourg transatlantic ties, particularly through our shared history 
Please review the complete NOFO on the Funding Opportunities page on our website: or in the related documents tab on the announcement on grants.gov for information on how to submit an application.</t>
  </si>
  <si>
    <t>OJJDP FY25 Second Chance Act Addressing the Needs of Incarcerated Parents and Their Minor Children</t>
  </si>
  <si>
    <t>This funding opportunity seeks to support states, units of local government, Tribal communities, and community-based organizations to implement, develop, or expand programs within detention or correctional facilities to respond to the needs of incarcerated parents (juvenile or adult) who have children younger than age 18 to prevent violent crime, reduce recidivism, and provide support for minor children.</t>
  </si>
  <si>
    <t>Commemorating the 80th anniversary of V/E Day in Slovakia</t>
  </si>
  <si>
    <t>The U.S. Embassy Bratislava Public Affairs Section is pleased to announce a Notice of Funding Opportunity (NOFO) for grants to support programs that commemorate the 80th anniversary of V/E Day, marking the end of World War II. Eligible organizations may apply for up to $24,999. This NOFO is for projects beginning no earlier than April 1, 2025. The deadline for this NOFO is February 9, 2025.These funds may be used to support projects that:commemorate the 80th anniversary of the end of World War II with an emphasis on allyship, democratic values, and/or the role of the United States in World War II.combat and highlight the dangers of disinformation in the context of World War II.</t>
  </si>
  <si>
    <t>Sharing American Culture in Slovakia</t>
  </si>
  <si>
    <t>The U.S. Embassy Bratislava Public Affairs Section is pleased to announce a Notice of Funding Opportunity (NOFO) for grants to support programs that share American culture in Slovakia. Eligible organizations may apply for up to $24,999. This NOFO is for projects beginning no earlier than April 1, 2025. The deadline for this NOFO is February 9, 2025.These funds may be used to support projects that:share the richness and diversity of American culture in Slovakia and promote cultural dialogue and people-to-people ties between the United States and Slovakia.</t>
  </si>
  <si>
    <t>FY2024 Historic Preservation Fund - Semiquincentennial Grants</t>
  </si>
  <si>
    <t>DOI-NPS</t>
  </si>
  <si>
    <t>National Park Service</t>
  </si>
  <si>
    <t>The National Park Serviceâ€™s (NPS) Semiquincentennial Grant Program will support the physical preservation of a broad variety of cultural resources associated with the founding of America as a nation in commemoration of the country's semiquincentennial (250th anniversary).  These grants are funded by the Historic Preservation Fund (HPF), administered by the NPS, and will fund physical preservation to properties listed in or eligible for the National Register of Historic Places, including buildings, sites, structures, objects, or historic districts. Grants are awarded through a competitive process and do not require non-Federal match, though match may be considered as a competitive factor.  State owned properties will receive priority per Congressional directive.</t>
  </si>
  <si>
    <t>Administration of U.S. Embassy Grants Fund</t>
  </si>
  <si>
    <t>Others (see text field entitled "Additional Information on Eligibility" for clarification)  	Registered not-for-profit organizations, including think tanks, civil society, NGOs and cultural and/or educational associations. 	In order to be eligible, the organization must have its headquarters, or a branch, established in Argentina, a solid knowledge of the Argentine civil society environment, and be part of a network of non-profit Argentine organizations.</t>
  </si>
  <si>
    <t>The U.S. Embassy in Argentina Public Affairs Section (PAS) announces an open competition for non-government, not-for profit institutions or organizations to submit applications to administer the U.S. Embassyâ€™s Grants Fund in Argentina. The Recipient will administer and manage a grants program that will award sub-grants to projects with one of the following priorities: 1) Sustainable Economic Growth, Entrepreneurship, and the promotion of partnerships to foster economic development; 2) Media literacy/press freedom/countering disinformation; 3) Increasing awareness in good governance, transparency, and shared democratic principles. The Recipient will manage all program administration that includes coordinating and publicizing -in conjunction with the U.S. Embassy in Argentina- the open call for proposals for sub-awards, the review and selection of sub-awards with PAS, correspondence with sub-award organizations, managing payments and financial records, overseeing the implementation of the sub-award programs, and management of the monitoring, evaluation, reporting and closeout of the sub-awards.Based on the guidance and instructions from the Public Affairs Section, the Recipient shall enter into sub-awards with other entities to accomplish projects prioritizing the three embassy goals mentioned above. The Recipient is responsible for monitoring and providing oversight of the sub-awardees' performance, expenditures and reporting. Adequate documentation of the sub-awardeesâ€™ compliance with award terms and conditions must be maintained by the Recipient and made available to the Grants Officer (GO) immediately upon request. This includes the sub-award selection methodology and any relevant policies the Recipient has regarding sub-awards and sub-award monitoring.Please see attached full text of this call for proposals.</t>
  </si>
  <si>
    <t>FY 2025 Commercial Driver's License Program Implementation (CDLPI)</t>
  </si>
  <si>
    <t>DOT-FMCSA</t>
  </si>
  <si>
    <t>DOT-Federal Motor Carrier Safety Administration</t>
  </si>
  <si>
    <t xml:space="preserve">Public and State controlled institutions of higher education </t>
  </si>
  <si>
    <t>The CDLPI program objective is to provide financial assistance to States and other eligible entities to carry out and improve the national CDL program. The national CDL program focuses on the concept that each driver has only one driving record and only one licensing document, commonly referred to as "â€œOne Driver â€” One License â€” One Record."â€ Further, the national CDL program requires States to conduct knowledge and skills testing before issuing a Commercial Learnerâ€™s Permit (CLP) and/or CDL; to maintain a complete and accurate driver history record (DHR) for anyone who obtains a CLP and/or CDL; and to impose driver disqualifications, as required by the regulations.</t>
  </si>
  <si>
    <t>Annual Program Statement 2025</t>
  </si>
  <si>
    <t>DOS-ZAF</t>
  </si>
  <si>
    <t>U.S. Mission to South Africa</t>
  </si>
  <si>
    <t>Others (see text field entitled "Additional Information on Eligibility" for clarification) Only non-profit organizations are eligible to apply. This includes civil society/non-governmental organizations, non-profit public and private educational institutions, non-profit think tanks, etc. South African applicants with a proven track record may be given priority.</t>
  </si>
  <si>
    <t>The U.S. Mission to South Africa Public Diplomacy Section (PDS) of the U.S. Department of State is pleased to announce its Annual Program Statement (APS) for Fiscal Year 2025. Awards will be approved for amounts less than $25,000 each, based on funding availability.The application process includes two phases: In the first, streamlined phase, applicants should submit project ideas in the form of concept notes. Following review of each concept note, the U.S. Mission will invite applicants with promising concept notes to submit full project proposals for further consideration. Specific instructions will be provided to those applicants selected for submission of a full proposal.Please read this notice of funding opportunity (NOFO) carefully. It outlines PDS funding priorities, the strategic lines of focus, and the procedures for submitting funding proposals.</t>
  </si>
  <si>
    <t>FY25 Commercial Motor Vehicle Operator Safety Training Program</t>
  </si>
  <si>
    <t xml:space="preserve">State governments </t>
  </si>
  <si>
    <t>The U.S. Department of Transportationâ€™s Federal Motor Carrier Safety Administration (FMCSA) announces its Fiscal Year (FY) 2025 Commercial Motor Vehicle Operator Safety Training (CMVOST) grant program Notice of Funding Opportunity (NOFO) to solicit applications from organizations that provide commercial motor vehicle (CMV) operator training, including accredited public or private colleges, universities, vocational-technical schools, post-secondary educational institutions, truck driver training schools, associations, and State and local governments, including Federally recognized Native American Tribal governments. FMCSA will also accept applications from non-accredited institutions that are approved by the U.S. Department of Labor (DOL) as eligible training providers to accept Workforce Innovation and Opportunity Act (WIOA) grants and approved by the State Approving Agencies (SAAs) and the U.S. Veterans Administration (VA) to accept VA benefits.</t>
  </si>
  <si>
    <t>Partnership to Advance Conservation Science and Practice</t>
  </si>
  <si>
    <t>The U.S. National Science Foundation (NSF) and the Paul G. Allen Family Foundation (the foundation) are continuing their partnership to support this program, to be administered by NSF, supporting conservation science and science-informed conservation practice in the United States. The objective of the PACSP Program is to support conservation research that investigates organismal biology, ecology, and/or evolution and is designed to contribute to the development and implementation of evidence-based activities and/or technology solutions to advance biodiversity conservation. We seek proposals that involve the implementation of conservation activities based on conservation science principles via academic-conservation organization partnerships. The strongest projects will involve ongoing assessment of biodiversity outcomes, for instance via an adaptive management framework, that inform both scientific understanding and conservation actions. Proposals submitted to the PACSP program must make clear and well-defined connections between basic research questions and the implementation of conservation focused actions.
The Program's focus is on conservation goal-related research that will directly translate to on-the-ground biodiversity conservation efforts. Proposals that adopt a convergent approach between a changing environment, conservation, and the health of ecosystems and the organisms therein are especially encouraged. Proposals are also expected to incorporate project outcomes within the context of broader societal impacts and, as appropriate for the research proposed, engage non-academic partners in collaboration.
For proposals recommended for funding, NSF will fund the proposed research scope, and the foundation will fund the proposed conservation component of the project.</t>
  </si>
  <si>
    <t>Bureau of Democracy, Human Rights, and Labor Request for Statements of Interest:  FY 2024 China Programs</t>
  </si>
  <si>
    <t>Others (see text field entitled "Additional Information on Eligibility" for clarification) The following organizations are eligible to apply:
Foreign-based non-profit organizations/nongovernment organizations (NGO);
U.S.-based non-profit organizations/NGOs with or without 501(c)(3) status;
Public International Organizations;
Private, public, or state institutions of higher education;
For-profit organizations or businesses.</t>
  </si>
  <si>
    <t>The Bureau of Democracy, Human Rights, and Labor (DRL) seeks Statements of Interest (SOIs) from organizations interested in implementing programs to counter human rights abuses and promote democratic norms and values in the Peopleâ€™s Republic of China (PRC).</t>
  </si>
  <si>
    <t>Public Wireless Supply Chain Innovation Fund Grant Program - Software Solutions for Industry Verticals and Integration Automation</t>
  </si>
  <si>
    <t>DOC-NTIA</t>
  </si>
  <si>
    <t>National Telecommunications and Information Admini</t>
  </si>
  <si>
    <t>Others (see text field entitled "Additional Information on Eligibility" for clarification) Eligibility varies for each SRFA. SRFA 1 applicants must meet the eligibility requirements listed in Section 2.2. SRFA 2 applicants must meet the eligibility requirements listed in Section 3.2.</t>
  </si>
  <si>
    <t>This Notice of Funding Opportunity (NOFO) is the third issued under the Public Wireless Supply Chain Innovation Fund (Innovation Fund). The Innovation Fund is an NTIA-administered competitive grant program that seeks to accelerate the development, deployment, and adoption of open and interoperable radio access networks (RAN). In this third NOFO, NTIA will invest in software solutions to further drive Open RAN adoption. Software design is a specific strength of U.S. innovation, and NTIA hopes that this software-centric third NOFO will elicit broad interest from the tech community. Through these awards, NTIA aims to identify and validate new Open RAN-enabled revenue streams, while reducing the cost and complexity of multi-vendor integration. These efforts will help expand market opportunities for suppliers and operators, in turn facilitating Open RAN adoption in upcoming equipment buying cycles and beyond.</t>
  </si>
  <si>
    <t>DE-FOA-0003535 Request for Information (RFI): Defining Sustainable Maritime Fuels in the United States</t>
  </si>
  <si>
    <t>An Action Plan for Maritime Energy and Emissions Innovation (Action Plan) calls for the Federal government to define Sustainable Maritime Fuel (SMF) in 2025. As described in the Action Plan, the maritime industry cannot rely solely on drop-in fuel replacements, so vessels must look towards alternative energy sources such as clean methanol, ammonia, hydrogen, electrification, and efficiency improvements as the industry moves towards zero- and near zero-emission fuels. This action is key to evaluating many subsequent goals in the plan pertaining to future production volumes of SMFs. It will also help to align community, industry, government, financiers, and other maritime stakeholders regarding what qualifies as a SMF. This alignment will help to advance technology and investment with a consistent understanding of future maritime fuels.
This Request for Information (RFI) seeks to engage industry, government, and maritime stakeholders for feedback on how to define â€œSustainable Maritime Fuel.â€
While this RFI is being published by the U.S. Department of Energy (DOE), DOE is also working with other agencies to support the development of an SMF definition; these agencies include but are not limited to the U.S. Department of Transportation, the U.S. Department of Agriculture, the Department of State, and the Environmental Protection Agency. This collaborative effort seeks feedback on a variety of aspects that may affect the eventual SMF definition, including but not necessarily limited to: minimum carbon intensity reductions, sustainability factors, criteria air pollutant inclusion (e.g. NOx, SOx, and particulate matter), acceptable feedstocks, how to align with global requirements (e.g. International Maritime Organization (IMO) and FuelEU), and whether accounting for emission reduction technologies (such as onboard carbon capture) should be included.
Responses to this RFI must be submitted electronically to DefiningSMF@ee.doe.gov no later than 5:00pm (ET) on February 28, 2025. Responses must be provided as attachments to an email. It is recommended that attachments with file sizes exceeding 25MB be compressed (i.e., zipped) to ensure message delivery. Responses must be provided as a Microsoft Word (.docx) attachment to the email, and no more than 3 pages in length, 12 point font, 1 inch margins. Only electronic responses will be accepted.
This is solely a request for information and not a Notice of Funding Opportunity (NOFO). EERE is not accepting applications.
Please see the full RFI document at EERE-Exchange.Energy.gov.</t>
  </si>
  <si>
    <t>USAID Multisectoral Resilience Activity</t>
  </si>
  <si>
    <t>USAID-NIG</t>
  </si>
  <si>
    <t>Nigeria USAID-Abuja</t>
  </si>
  <si>
    <t>The United States Government, represented by the United States Agency for International Developmentâ€™s Nigeria Mission (USAID/Nigeria), is designing a new award, the USAID Multisectoral Resilience Activity, for the Sokoto and Zamfara States. This RFI seeks innovative ideas of locally led and inclusive interventions that will help vulnerable populations and communities get out of poverty, be self-sufficient, and be able to withstand shocks and stressors. Responses are due by January 17, 2025.</t>
  </si>
  <si>
    <t>OJJDP FY25 Enhancing Youth Defense Training and Technical Assistance</t>
  </si>
  <si>
    <t>This funding opportunity seeks to improve the quality of representation and breadth of services available from defense practitioners for justice-involved youth through specialized training, tools, resources, and intensive technical assistance.</t>
  </si>
  <si>
    <t>UPLIFT Climate and Environmental Community Action Grant</t>
  </si>
  <si>
    <t>EPA</t>
  </si>
  <si>
    <t>Environmental Protection Agency</t>
  </si>
  <si>
    <t>Others (see text field entitled "Additional Information on Eligibility" for clarification) See Section 2 of the Notice of Funding Opportunity for eligibility information.</t>
  </si>
  <si>
    <t>The UPLIFT Climate and Environmental Community Action Grant program (â€œUPLIFTâ€) offers an unprecedented opportunity to support disadvantaged communities by building the capacity of institutions of higher education (IHEs) and community-based organizations (CBOs) who play a significant role in supporting disadvantaged communities work towards creating healthy, climate resilient, and thriving communities for generations to come.The UPLIFT Grant will support the development of a community of practice that will bring together IHEs, including Historically Black Colleges and Universities (HBCUs) and other Minority Serving Institutions (MSIs), CBOs, philanthropy, the private sector, and government entities to learn from one another about the climate and environmental justice challenges that disadvantaged communities face, identify solutions, develop partnerships, and engage with government (at the local, state, and/or federal levels) through a variety of public processes such as advisory councils, rulemaking processes, grant opportunities, to ensure that their vital voices are a part of and help to inform decisions that impact disadvantaged communities (as defined in Appendix A).Additionally, the UPLIFT Grant will support the development of a subaward program that will support community-driven projects in disadvantaged communities that address climate challenges and reduce pollution while strengthening communities through thoughtful and collaborative implementation. The historic support provided by this grant will enable disadvantaged communities and their partners to work together to build capacity and collaborative partnerships to help them begin to address longstanding environmental challenges and implement meaningful solutions to meet their needs now and for generations to come.Partnership of Community Based Nonprofit and an Institution of Higher Education are eligible to apply.</t>
  </si>
  <si>
    <t>DOL-ETA</t>
  </si>
  <si>
    <t>Employment and Training Administration</t>
  </si>
  <si>
    <t>Bay-Delta Restoration Program: CALFED Water Use Efficiency Grants for Fiscal Years 2025 and 2026</t>
  </si>
  <si>
    <t>DOI-BOR</t>
  </si>
  <si>
    <t>Bureau of Reclamation</t>
  </si>
  <si>
    <t>Special district governments Indian tribes, irrigation districts, water districts, or other organizations with water or power delivery authority. Those not eligible include the following types of entities:Federal governmental entities.Institutions of higher education.Individuals.501(c)4 organizations.501(c)6 organizations.</t>
  </si>
  <si>
    <t>The Bureau of Reclamation (Reclamation) is a participating agency in the Bay-Delta Restoration Program. The CALFED Bay-Delta Program Final Programmatic Environmental Impact Statement (EIS)/Environmental Impact Review was released July 21, 2000, and the Record of Decision (ROD) was published August 28, 2000. As described in these documents, the Bay-Delta Restoration Program includes strategies to address ecosystem health, water supply reliability, and water quality. Water use efficiency is a critical element in the successful implementation of the Bay-Delta Restoration Program. The goals (objectives) of the CALFED Bay-Delta Program include, but are not limited to: Goal 1: Reduce existing irrecoverable losses, increasing the overall volume of available water;Goal 2: Achieve multiple state-wide benefits;Goal 3: Preserve local flexibility; andGoal 4: Build on existing water use efficiency programs. Reclamation is posting a Notice of Funding Opportunity (NOFO) for cost-share funding for water use efficiency and conservation activities. To be eligible for financial assistance, a proposed activity must have a defined relationship to the California Bay-Delta. Through this NOFO, Reclamation provides funding for projects that increase water reliability and improve water management, including the use of expanded technologies and improved capabilities.  This NOFO also provides funding consistent with the priorities identified in Presidential Executive Order (E.O.) 14008: Tackling the Climate Crisis at Home and Abroad (E.O. 14008). The CALFED Bay-Delta Program will advance the Biden-Harris Administrationâ€™s Justice40 Initiative. Established by E.O. 14008, the Justice40 Initiative has made it a goal that 40 percent of the overall benefits of certain federal investments, such as climate, clean energy, and other areas, flow to disadvantaged communities.</t>
  </si>
  <si>
    <t>Academy for Women Entrepreneurs, FY2025</t>
  </si>
  <si>
    <t>Others (see text field entitled "Additional Information on Eligibility" for clarification) The following organizations are eligible to apply:  	Not-for-profit organizations, including think tanks and civil society/non-governmental organizations   	Public and private educational institutions  	Individuals  	Public international organizations and governmental institutions For-profit or commercial entities, including for-profit media organizations, are not eligible to apply.  The following types of programs are not eligible for funding:a.	Programs relating to partisan political activity b.	Charitable or development activities c.	Construction programs d.	Programs that support specific religious activities e.	Fund-raising campaigns f.	Lobbying for specific legislation or programs g.	Scientific research h.	Programs intended primarily for the growth or institutional development of the organization; ori.	Programs that duplicate existing programs.</t>
  </si>
  <si>
    <t>A global initiative, AWE provides resources to support the social and economic empowerment of women including the skills, networks, and opportunities needed to compete in the Ethiopian and global economy. Eligible applicants include not-for-profit organizations (such as think tanks and civil society/non-governmental organizations), public and private educational institutions, and public international organizations and governmental institutions. Cost-sharing or matching funding is not required. 
Note: We strongly encourage applicants to incorporate digital literacy training into their FY2025 AWE program proposals to enhance participants' technical skills and digital access. 
ECA launched AWE in 2019 to help women develop the skills and networks needed to start and grow businesses. Participants learn skills like strategic planning, marketing, and finance through online and in-person sessions, with guidance from business leaders and U.S. exchange alumni mentors. In partnership with Arizona State Universityâ€™s Thunderbird School for Global Management, AWE uses no-cost platforms like DreamBuilder and the Najafi 100 Million Learners Global Initiative  to deliver course content. 
DreamBuilder, created by ASU and Freeport-McMoRan, offers modules on marketing, pricing, and bookkeeping, plus a business plan generator. Available in English and Spanish, it supports local language mentoring; the Najafi 100 Million Learners Global Initiative available in 40 languages, provides a more advanced curriculum on entrepreneurship and innovation. Proposals must choose either DreamBuilder or 100 Million Learners for their curriculum. 
The proposals should meet the following objectives:  
â— Increase participantsâ€™ understanding of business planning and scaling up operations  
â— Connect participants with U.S.-based business experts and share U.S. models of running enterprises  
â— Build a network of female entrepreneurs that is committed to supporting and promoting relationships that help grow businesses and drive local partnerships, and  
â— Equip participants with skills and knowledge to build sustainable businesses.  
Applicants are encouraged to include digital skills and English language training in their proposals.  
Applicants are encouraged to train startups, beginner entrepreneurs, and mid-career entrepreneurs in Addis Ababa and other major regional cities where the U.S. Embassy maintains American Corners, including Jimma, Dire Dawa, Mekelle, and Bahir Dar.</t>
  </si>
  <si>
    <t xml:space="preserve">Individuals </t>
  </si>
  <si>
    <t>DE-FOA-0003517 Notice of Intent to Issue DE-FOA-0003518 and DE-FOA-0003520</t>
  </si>
  <si>
    <t>The Office of Energy Efficiency and Renewable Energy (EERE) intends to issue, on behalf of the Bioenergy Technologies Office (BETO), two Notice of Funding Opportunities (NOFOs):
1. DE-FOA-0003518, entitled â€œSustainable Propane and Renewable Chemicals (SPARC)â€; and
2. DE-FOA-0003520, entitled â€œMaximizing Algal System Yield (MASY).â€
These NOFOs support BETOâ€™s research and development (R&amp;D) priorities in the areas of (a) Conversion and (b) Renewable Carbon Resources (RCR).
It is anticipated that the NOFOs may include the following Areas of Interest:
DE-FOA-0003518 SPARC NOFO: Sustainable Propane and Renewable Chemicals
SPARC NOFO Topic Area 1: Bio-based Chemicals
Producing chemicals from renewable feedstocks helps to secure domestic supply chains, support rural economies, and improve sustainability in the industry. However, adoption of new chemical production pathways is challenging due to complex supply chains with many different stakeholders and the need for extensive product quality testing for new processes.
SPARC NOFO Topic Area 2: Bio-based Propane/LPG
SPARC Topic Area 2 seeks to develop new production pathways to produce sustainable liquefied propane and/or petroleum gases from a variety of biomass and waste resources including municipal waste, agricultural residues, forest resources and fats, oils, and grease. Topic Area 2 will support multiple conversion routes to produce propane and LPG.
DE-FOA-0003520 MASY NOFO: Maximizing Algal System Yield
The MASY NOFO seeks applications to address â€™pinch pointsâ€™ in algal system operations that currently limit expansion of algae as a domestic bioenergy feedstock. Developing algal systems that use photosynthetic growth of algae (micro-, macro-, and cyanobacteria) is an important component of BETOâ€™s strategy.
EERE plans to issue the NOFOs in or around January 2025 via the EERE eXCHANGE website https://eere-eXCHANGE.energy.gov/. If Applicants wish to receive official notifications and information from EERE regarding these NOFOs, they should register in EERE eXCHANGE. When the NOFOs are released, applications will be accepted only through EERE eXCHANGE.</t>
  </si>
  <si>
    <t>2025 Academy for Women Entrepreneurs Canada (AWE)</t>
  </si>
  <si>
    <t>DOS-CAN</t>
  </si>
  <si>
    <t>U.S. Mission to Canada</t>
  </si>
  <si>
    <t>Others (see text field entitled "Additional Information on Eligibility" for clarification) The following are eligible to apply:  U.S. and Canadian registered not-for-profit organizations, including think tanks, community associations, and civil society/non-governmental organizations with programming experience  Alumni of U.S. government funded and U.S. government-sponsored exchange programs in Canada  Non-profit media organizations  Professional trade organizations  Non-profit or governmental educational institutions  Private educational institutions For-profit or commercial entities are not eligible to apply.</t>
  </si>
  <si>
    <t>U.S. Embassy Ottawa announces an open competition for organizations to submit applications to implement the 2025 Academy for Women Entrepreneurs (AWE) in Montreal, Canada.  
AWE is a U.S. Department of State-led initiative established in 2019 to provide women with the professional skills, knowledge, networks, and access to launch or scale successful businesses. Cohorts of approximately 30 women meet online and in-person to learn core business skills such as strategic planning, marketing, and finance, then discuss the material with local facilitators, business leaders, and U.S. exchange alumni mentors.  
Through its partnerships with Arizona State Universityâ€™s Thunderbird School for Global Management, AWE utilizes no-cost, online learning platforms. Used by AWE since 2019 in partnership with ASU   Freeport-McMoRan, DreamBuilder -- available in English and Spanish -- teaches participants the fundamentals of starting or growing a small business from a U.S. perspective, offering modules on marketing, pricing, and bookkeeping, and includes a built-in business plan generator. The Najafi 100 Million Learners Global Initiative provides more advanced curriculum and can be used alongside or instead of DreamBuilder.  
U.S. Embassy Ottawa invites proposals to design and implement the Academy for Women Entrepreneurs in Montreal, Quebec, through a, through a training program in fall of 2025 to train 30 women business owners from under-represented backgrounds in Montreal and the broader province of Quebec. The program, in English or French will follow a hybrid model, combining the U.S. online platforms DreamBuilder and/or Thunderbirdâ€™s 100 Million Learners courses, with localized in-person mentorship and facilitation. Successful projects will harness the power of U.S. exchange alumni and/or alumni networks to help participating women and their business grow.  
Eligible Applicants 
The following are eligible to apply:  
Â· U.S. and Canadian registered not-for-profit organizations, including think tanks, community associations, and civil society/non-governmental organizations with programming experience  
Â· Alumni of U.S. government funded and U.S. government-sponsored exchange programs in Canada  
Â· Non-profit media organizations  
Â· Professional trade organizations  
Â· Non-profit or governmental educational institutions  
Â· Private educational institutions  
For-profit or commercial entities are not eligible to apply.  
ï»¿Program Objectives:  
Â· Train 30 women entrepreneurs from under-represented backgrounds in foundational business skills, including strategic planning, marketing, and finance, through globally recognized curricula like DreamBuilder  and/or the Najafi 100 Million Learners Global Initiative . 
Â· Empower program participants to create scalable business models.  
Â· Expand participantsâ€™ understanding of social enterprise models.  
Â· Foster participantsâ€™ ability to promote economic opportunities for women and increase the number of women-led businesses in Canada.  
Â· Facilitate the development of a network of female entrepreneurs and investors in Canada to grow women businesses and drive local partnerships  
Â· Foster alumni engagement through follow-on activities.  
All application materials must be submitted by email to Ottawa-PA@state.gov</t>
  </si>
  <si>
    <t>Request for Information (RFI) on Nuclear Heat for Modular Process Intensification in Refineries and Petrochemical Plants</t>
  </si>
  <si>
    <t>DOE-ARPAE</t>
  </si>
  <si>
    <t xml:space="preserve">Advanced Research Projects Agency Energy </t>
  </si>
  <si>
    <t>Unrestricted (i.e., open to any type of entity above), subject to any clarification in text field entitled "Additional Information on Eligibility" This is a Request for Information (RFI) only. This RFI is not seeking applications for financial assistance. THIS NOTICE DOES NOT CONSTITUTE A NOTICE OF FUNDING OPPORTUNITY (NOFO). NO NOFO EXISTS AT THIS TIME.</t>
  </si>
  <si>
    <t>This is a Request for Information (RFI) only. This RFI is not accepting applications for financial assistance. The purpose of this RFI is solely to solicit input for ARPA-E consideration to inform the possible formulation of future programs.
Request for Information (RFI) on Nuclear Heat for Modular Process Intensification in Refineries and Petrochemical Plants
The purpose of this RFI is to solicit input for a potential future ARPA-E program focused on improving the performance and efficiency of unit operations in refining and petrochemical plants by leveraging heat input from nuclear heat transfer fluids rather than from combustion. ARPA-E seeks information regarding transformative and implementable technologies to facilitate this integration. ARPA-E previously issued an RFI on Nuclear Hybrid and Non-Electricity Energy Systems, DE-FOA-0003011, in February 2023.  Questions in this RFI reflect the refined scope of the potential program.
ARPA-E has identified three areas of interest for using nuclear energy to decarbonize process heating demands in refineries and petrochemical plants:
1.	Development of process-intensified reactors for endothermic processes;
2.	Novel heat transfer and heat augmentation technologies; and
3.	Process dynamics of incorporating a traditionally firm (nuclear) heat source with volatile demands. 
Coupling nuclear with oil and gas operations will require both technical and commercial innovation in areas such as process co-design and co-optimization, sensors, controls, and thermal buffering interface-component development while meeting reliability, availability, and durability metrics cost effectively. 
This RFI aims to gather information from interested and relevant stakeholders about opportunities and challenges in the technical, technology-to-market, and safety aspects of coupling of nuclear heat and/or power to industrial processes beyond pure power and/or steam production. The questions posed in the section below are based on the following program-level assumptions:
â€¢	Nuclear heat or combined heat and power (CHP) is a viable route to decarbonizing industrial processes;
â€¢	Regulatory approvals can be obtained on a predictable basis;
â€¢	The associated nuclear fuel cycle (including waste processing and geologic disposal) can be reliably and economically defined and implemented; and
â€¢	Warranty protection and insurability can be established.
To view the RFI in its entirety please visit https://arpa-e-foa.energy.gov.</t>
  </si>
  <si>
    <t>Office of Special Programs (OSEP): Training and Information for Parents of Children with Disabilities: Parent Training and Information Centers CFDA Number 84.328M</t>
  </si>
  <si>
    <t>Others (see text field entitled "Additional Information on Eligibility" for clarification) Eligible Applicants:  Parent organizations.Note:  Section 671(a)(2) of the Individuals with Disabilities Education Act (IDEA) defines a  parent organization  as a private nonprofit organization  (other than an institution of higher education (IHE)) that-- (a)  Has a board of directors--(1)  The majority of whom are parents of children with disabilities ages birth through 26;(2)  That includes--(i)  Individuals working in the fields of special education, related services, and early intervention; and(ii)  Individuals with disabilities; and(3)  The parent and professional members of which are broadly representative of the population to be served, including low-income parents and parents of limited English proficient children; and(b)  Has as its mission serving families of children with disabilities who are ages birth through 26 and have the full range of disabilities described in section 602(3) of IDEA.</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</si>
  <si>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Special Education Parent Information Centers program is to ensure that parents of children with disabilities receive high-quality, relevant, and useful training and information to help improve outcomes for their children. 
Assistance Listing Number (ALN) 84.328M. 
 </t>
  </si>
  <si>
    <t>FY25 IIJA/IRA Bureau of Land Management Wyoming Plant Conservation and Restoration Management</t>
  </si>
  <si>
    <t>The BLM Wyoming Plant Conservation and Restoration Program advances the Department of the Interior's priorities to address the climate crisis, restore balance on public lands and waters, advance environmental justice, and invest in a clean energy future. In 2025 the BLM Wyoming is focused on meeting the priorities of the National Seed Strategy (www.blm.gov/seedstrategy).The BLM Wyoming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BLM Wyoming has opportunities to work with partner organizations to do activities such as:Reduce the threats to sage grouse, rare plants, and other sensitive species in high priority habitats by supporting efforts to restore habitat for keystone wildlife and pollinator.Working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</si>
  <si>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FY25 IIJA/IRA Bureau of Land Management California Wildlife Program</t>
  </si>
  <si>
    <t>Native American tribal organizations (other than Federally recognized tribal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</si>
  <si>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California Wildlife Program advances the Department of the Interior's priorities to address the climate crisis, restore balance on public lands and waters, advance environmental justice, and invest in a clean energy future. Specific BLM California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California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</si>
  <si>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FY25 IIJA/IRA Bureau of Land Management Wyoming Aquatic Resource Management</t>
  </si>
  <si>
    <t>The Bureau of Land Managementâ€™s (BLM) Wyoming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Wyoming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Wyoming Aquatic Resources Program continues to advance the Department of the Interior's priorities to address the climate crisis, restore balance on public lands and waters, advance environmental justice, and invest in a clean energy future. The BLM Wyoming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t>
  </si>
  <si>
    <t>FY25 IIJA/IRA Bureau of Land Management Wyoming Wildlife Program</t>
  </si>
  <si>
    <t>City or township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</si>
  <si>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Wyoming Wildlife Program advances the Department of the Interior's priorities to address the climate crisis, restore balance on public lands and waters, advance environmental justice, and invest in a clean energy future. Specific BLM Wyoming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Wyoming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</si>
  <si>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FY25 IIJA/IRA Bureau of Land Management Wyoming Threatened and Endangered Species Program</t>
  </si>
  <si>
    <t>The BLM Wyoming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(Wyoming)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</si>
  <si>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FY25 IIJA/IRA Bureau of Land Management Wyoming Recreation and Visitor Services</t>
  </si>
  <si>
    <t>All Federal Fund Opportunities Available in Three Months (as of December 15th, 2024)</t>
  </si>
  <si>
    <t>ID</t>
  </si>
  <si>
    <t>Title</t>
  </si>
  <si>
    <t>Agency Code</t>
  </si>
  <si>
    <t>Agency</t>
  </si>
  <si>
    <t>Close Date</t>
  </si>
  <si>
    <t>Amount Ceil</t>
  </si>
  <si>
    <t>Amount Floor</t>
  </si>
  <si>
    <t># Awards</t>
  </si>
  <si>
    <t>Eligibility</t>
  </si>
  <si>
    <t>Description</t>
  </si>
  <si>
    <t>Rehabilitation Research and Training Center (RRTC) on Health and Function Among People with Serious Mental Health Conditions</t>
  </si>
  <si>
    <t>HHS-ACL</t>
  </si>
  <si>
    <t>Administration for Community Living</t>
  </si>
  <si>
    <t>State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</si>
  <si>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RRTCs is to achieve the goals of, and improve the effectiveness of, services authorized under the Rehabilitation Act through well-designed research, training, technical assistance, and dissemination activities in important topical areas as specified by NIDILRR. The purpose of this particular RRTC is to conduct research, training, technical assistance, and related activities to contribute to positive health and function outcomes among people with serious mental health conditions. NIDILRR plans to make one grant under this opportunity. The grant will have a 60-month project period, with five 12-month budget periods.</t>
  </si>
  <si>
    <t>De-risking Innovative Grid Technologies to Facilitate Adoption of Solutions that Promote Reliability, Resilience, Security, and Affordability</t>
  </si>
  <si>
    <t>The purpose of this Request for Information (RFI) is to obtain input to inform planning of the Office of Electricityâ€™s Applied Grid Transformation Solutions (AGTS) program. The AGTS program was initiated in 2023 with a focus on facilitating the adoption of innovative grid technologies that broaden the reliability, resilience, security, and affordability of the Nationâ€™s electricity delivery infrastructure as it is being transformed to meet a more dynamic, decentralized, and complex operating environment, including new and emerging threats and challenges. 
This is solely a request for information and is not a Notice of Funding Opportunity. The Department of Energy is not accepting applications to this Request for Information.</t>
  </si>
  <si>
    <t>NIJ FY25 Research and Evaluation on Drugs and Crime: Nexus with Firearms and Violence</t>
  </si>
  <si>
    <t>USDOJ-OJP-NIJ</t>
  </si>
  <si>
    <t>National Institute of Justice</t>
  </si>
  <si>
    <t>Independent school districts Other Units of Local Government</t>
  </si>
  <si>
    <t>This funding opportunity seeks applications for rigorous applied research on drugs and crime to inform the development of evidence-based tools, practices, and policies for state, tribal, and local law enforcement and other criminal justice agencies that address drug trafficking, drug markets, and drug-related violence. The FY25 NOFO research priority is firearmsâ€”the intersection of drug crimes and firearm offenses in trends, interdiction, and prosecution, and efforts to disrupt those criminal activities and related violence. Please see the Eligible Applicants section for the eligibility criteria.</t>
  </si>
  <si>
    <t>Advancing HUD's Learning Agenda through Cooperative Agreements with Historically Black Colleges and Universities, Hispanic Serving Institutions, Tribal Colleges and Universities, and Alaska Native/ Native Hawaiian-Serving Institutions</t>
  </si>
  <si>
    <t>HUD</t>
  </si>
  <si>
    <t>Department of Housing and Urban Development</t>
  </si>
  <si>
    <t>Others (see text field entitled "Additional Information on Eligibility" for clarification) Eligible applicants are restricted to institutions that are designated by the U.S. Department of Education at the time of application as one of the four following categories of federally recognized minority-serving institutions: Historically Black Colleges and Universities (HBCU), Hispanic Serving Institutions (HSI), Tribal Colleges or Universities (TCU), or Alaska Native and Native Hawaiian-Serving Institutions (ANNH). Institutions must apply annually to the U.S. Department of Education for federally recognized minority-serving eligibility designations. Institutional designations can change from year to year. You may verify the status of your institution by visiting https://www2.ed.gov/about/offices/list/ope/idues/eligibility.html. Scroll down and click on the most recent version of the Eligibility Matrix, a read-only Excel worksheet that lists data for postsecondary institutions. You may also establish your institution s status with a letter or other document from the U.S. Department of Education.  Individuals, foreign entities, and sole proprietorship organizations are not eligible to compete for, or receive, awards made under this announcement.</t>
  </si>
  <si>
    <t>Through this funding opportunity, HUDâ€™s Office of Policy Development &amp; Research (PD&amp;R) will fund eligible institutions to conduct research that addresses one or more of the Eligible Research Questions listed in Section III.G. The NOFO is intended to: (1) fund quality research that contributes to knowledge on housing and community development; and (2) support minority-serving institutions to conduct housing and community development research important to the communities and students they serve. The Eligible Research Questions are adapted from HUDâ€™s Learning Agenda, which articulates a set of critical, policy-relevant research questions that, if addressed, would support the advancement of HUDâ€™s mission of creating strong, sustainable, inclusive communities and quality, affordable homes for all. The Learning Agenda draws on input and support from practitioners, advocates, people with lived experience in HUD programs, researchers, and policymakers at the federal, state, and local levels.Awards made under this NOFO will be cooperative agreements. Awardees should anticipate substantial involvement by subject matter experts within PD&amp;R in support of the selected research projects.  Substantial involvement is defined in Section III.A of this NOFO.</t>
  </si>
  <si>
    <t>Multimodal Artificial Intelligence to Accelerate HIV Clinical Care (R01 Clinical Trial Optional)</t>
  </si>
  <si>
    <t>HHS-NIH11</t>
  </si>
  <si>
    <t>National Institutes of Health</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</si>
  <si>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</si>
  <si>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This initiative will leverage cutting edge generative AI technology to augment existing narrow AI/ML approaches used in clinical care that will expand our capacity to address the dynamic, complex, and evolving HIV epidemic.</t>
  </si>
  <si>
    <t>BIL DE-FOA-0003525: 2025 RENEW AMERICA'S SCHOOLS PRIZE TO COOPERATIVE AGREEMENT</t>
  </si>
  <si>
    <t>Others (see text field entitled "Additional Information on Eligibility" for clarification) Please read NOFO document for full eligibility requirements at https://www.herox.com/2025renewschoolsprize</t>
  </si>
  <si>
    <t>To apply, please register with the online application portal, HeroX, at https://www.herox.com/2025renewschoolsprize.  Rules and required documents for application packages are available on the HeroX website.
2025 Renew Americaâ€™s Schools PRIZE to Cooperative Agreement Overview:
The 2025 Renew Americaâ€™s School Prize will provide up to $4.2M in cash prize awards of $300,000 each, followed by cooperative agreement awards between $7.5M and $15M.
The U.S. Department of Energy (DOEâ€™s) Renew Americaâ€™s Schools program provides investments to transform decaying public school infrastructure into healthier, more energy efficient learning environments. The program supports the implementation of infrastructure improvements in schools, with a focus on local educational agencies (LEAs) that qualify as rural and/or high poverty. Through Renew Americaâ€™s Schools, DOE will help create healthier learning environments, lower utility costs, and redirect funds to support students and teachers.
The 2025 Renew Americaâ€™s Schools Prize consists of the Prize competition (Phase 1) and a subsequent Cooperative Agreement (Phase 2 and Phase 3). Competitors submitting proposals should be organizations with the capacity to aggregate and manage portfolios of school facilities to receive energy assessments and improvements. Competitors should consider leveraging the Teaming Partner List, found on the HeroX prize page, to add additional capacity and expertise.
This Official Rules document outlines the components of the Renew Americaâ€™s Schools Prize (Phase 1) and subsequent Cooperative Agreement process and funding (Phase 2 and Phase 3). 
Submission Deadlines
Application Submission Deadline: Thursday, April 3rd, 2025 by 5pm ET.
Applications must be submitted on HeroX, not through Exchange.
PRIZE (PHASE 1)
PHASE 1 (PRIZE): Portfolio + Team = Up to 14 Winners at $300,000 cash prize each
In Phase 1 (â€œPortfolio + Teamâ€), competitors will identify a minimum of 10 schools/school facilities to be included in their application. The portfolio may span multiple LEAs. The portfolio should exhibit a high need for energy assessments and, ultimately, energy improvements. The goal of Phase 1 is for competitors to successfully assemble their project team, assemble their portfolio of school facilities, demonstrate the need for energy improvements at schools and school facilities in the defined portfolio, and outline their process to complete the tasks in Phase 2. Based on successful completion of Phase 1, winners will be invited to enter into negotiations with DOE for a Cooperative Agreement. Negotiations for Cooperative Agreement will require additional steps as outlined below.
COOPERATIVE AGREEMENT (PHASE 2 and PHASE 3)
PHASE 2 (COOPERATIVE AGREEMENT): Strategic Plan + Energy Audits = $500,000 to $1,000,000 per recipient
ONLY winners from the Phase 1 Prize will be eligible to negotiate with DOE to receive a Cooperative Agreement for Phase 2 and Phase 3 funding. The Selection Official reserves the right to down select the number of Phase 1 winners that will enter into negotiations with DOE for a Cooperative Agreement for Phase 2 and Phase 3 funding.
Phase 2 (â€œStrategic Plan + Energy Auditsâ€) will be synonymous with Budget Period 1 of the Cooperative Agreement. Funding in Phase 2 will reimburse Recipients for costs associated with energy audits and strategic planning and design. DOE will[1] allocate a set amount of funding per Recipient, determined by the number of schools or school facilities submitted in their Phase 1 application [see Table 1 below]. In Phase 2, Recipients conduct The American Society of Heating, Refrigerating and Air-Conditioning Engineers (ASHRAE) Level 2 energy audits of all the schools/school facilities in the portfolio and develop a comprehensive Strategic Plan for implementing energy improvements. Energy audits and the Strategic Plan should provide schools with clear pathways to prioritize energy improvements, access private sector funding and/or tax credits, and realize high-impact health and safety benefits.
PHASE 3 (COOPERATIVE AGREEMENT): Implementation = $7,000,000 to $14,000,000 per recipient
Phase 3 (â€œImplementationâ€) will be synonymous with Budget Period 2 of the Cooperative Agreement. In Phase 3, DOE will allocate a set amount of funding per Recipient, determined by the number of schools/school facilities submitted in their Phase 1 application [see Table 1]. In Phase 3, Recipients oversee implementation of the energy improvements identified at the end of Phase 2. DOE will work with Recipients to ensure high-priority energy improvements are implemented within the allotted budget for Phase 3. Phase 3 should directly advance the measurable goals of energy savings and high impact health and safety benefits outlined in Phase 1. 
Webinar Details
DOE will Host the following Informational Webinars:
Â·	Informational Webinar: Tuesday, January 7th, 2025 @ 3pm ET (see HeroX for Zoom Link)
Â·	Office Hours #1: Wednesday, February 12th, 2025 @ 3pm ET (see HeroX for Zoom Link)
Â·	Office Hours #2: Tuesday, March 4th, 2025 @ 3pm ET (see HeroX for Zoom Link)
Please visit HeroX to register for upcoming events and view recordings of previous webinars.
Teaming Partner List
DOE is continuing to gather information for the â€œTeaming Partner Listâ€ to facilitate the formation of project teams for this Prize. The Teaming Partner List allows organizations who may wish to participate on an application to express their interest to other competitors, explore potential partnerships, and form project teams.
Updates to the Teaming Partner List will be available on the HeroX prize page. The Teaming Partner List will be regularly updated to reflect new teaming partners who provide their organizationâ€™s information.
SUBMISSION INSTRUCTIONS: Any organization that would like to be included on the Teaming Partner List should fill out this Microsoft form or email the information to Schools@doe.gov with the subject line â€œTeaming Partner Information.â€
DISCLAIMER: By submitting a request to be included on the Teaming Partner List, the requesting organization consents to the publication of the above-referenced information. By facilitating the Teaming Partner List, DOE is not endorsing, sponsoring, or otherwise evaluating qualifications of individuals and organizations self-identifying themselves for placement on the Teaming Partner List. DOE will not pay for the provision of any information, nor will it compensate any competitors or requesting organizations for the development of such information.
Contact Information &amp; Questions
Submit questions to Schools@DOE.gov. Please refer to the HeroX website to find the answer to your emailed question.</t>
  </si>
  <si>
    <t>Statement of Interest: Accountability for Mass Atrocities Program Statement Round One</t>
  </si>
  <si>
    <t>DOS-GCJ</t>
  </si>
  <si>
    <t>Office of Global Criminal Justice</t>
  </si>
  <si>
    <t>Others (see text field entitled "Additional Information on Eligibility" for clarification) GCJ welcomes applications from U.S.-based non-profit and non-governmental organizations with or without 501(c) (3) status of the U.S. tax code; foreign-based non-profit organizations/nongovernment organizations (NGO); Public International Organizations; Foreign Public Organizations; private, public, or state institutions of higher education; and for-profit organizations or businesses.</t>
  </si>
  <si>
    <t>The Office of Global Criminal Justice of the US Department of State announces an open competition for organizations to submit a statement of interest to strengthen national and international accountability mechanisms investigating and or prosecuting mass atrocities committed during armed conflict and times of peace. This would include transitional justice processes encompassing the range of measures, judicial and nonjudicial, formal and informal, retributive and restorative, employed by countries transitioning out of armed conflict or repressive regimes to redress legacies of atrocities and to promote long term, sustainable peace.</t>
  </si>
  <si>
    <t>NIJ FY25 Research and Evaluation of Artificial Intelligence for Criminal Justice Purposes</t>
  </si>
  <si>
    <t>Native American tribal organizations (other than Federally recognized tribal governments) Other Units of Local Government</t>
  </si>
  <si>
    <t>This funding opportunity seeks to support research and evaluation that advances the use of artificial intelligence (AI) in the criminal justice system. The goal is to improve the fairness, accuracy, and effectiveness of criminal justice processes through AI applications in crime prevention, public safety, and justice system decision-making. Research should explore both the benefits and limitations of AI, addressing potential risks and downstream impacts. Emphasis is placed on transparency, accountability, and civil rights protections. Please see the Eligible Applicants section for the eligibility criteria.</t>
  </si>
  <si>
    <t>BJA FY25 Staff-Led Restrictive Housing Reform Program</t>
  </si>
  <si>
    <t xml:space="preserve">Private institutions of higher education </t>
  </si>
  <si>
    <t>This opportunity seeks to fund a training and technical assistance (TTA) provider to help correctional agencies implement meaningful policies, trainings, and practice changes to reduce the use of restrictive housing while maintaining institutional safety. The award recipient will select six sites to work with during the program period and also support the field at large by responding to requests for ad hoc training and subject matter expertise and disseminating best practices and lessons learned on this topic.</t>
  </si>
  <si>
    <t>Rural Residency Planning and Development (RRPD) program</t>
  </si>
  <si>
    <t>HHS-HRSA</t>
  </si>
  <si>
    <t>Health Resources and Services Administration</t>
  </si>
  <si>
    <t>Others (see text field entitled "Additional Information on Eligibility" for clarification) These types of domestic* organizations may apply: Public or private institutions of higher education, as part of a graduate medical education (GME) consortium, including:Schools of allopathic medicineSchools of osteopathic medicineHistorically Black Colleges and Universities (HBCUs) Rural hospitals Rural community-based ambulatory patient care centers, including Rural Health Clinics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</si>
  <si>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purpose of the Rural Residency Planning and Development (RRPD) program is to improve and expand access to health care in rural areas by developing new sustainable rural residency programs, including rural track programs (RTPs).
 These residency programs must achieve accreditation from the Accreditation Council for Graduate Medical Education (ACGME). Newly created rural residency programs will increase the number of future physicians training in rural areas, and ultimately the number of physicians practicing in rural areas with the goal of addressing the physician workforce shortages in rural communities.
 The RRPD program provides start-up funding to create new rural residency programs in qualifying medical specialties that will be sustainable long-term through viable and stable funding mechanisms, such as Medicare, Medicaid, and other public or private funding sources. Qualifying medical specialties are family medicine, internal medicine, preventive medicine, psychiatry, general surgery, and obstetrics and gynecology.
 For this notice of funding opportunity (NOFO), rural residency programs:
 â€¢Are accredited physician residency programs.
 â€¢Train residents in clinical training sites that are physically located in a rural area as defined by HRSAâ€™s Federal Office of Rural Health Policy (FORHP) [1] for greater than 50 percent of their total time in residency.
 â€¢Focus on producing physicians who will practice in rural communities.
 The purpose of the RRPD Program is to fund the development of new rural residency programs in qualifying medical specialties. For this funding opportunity, we consider â€œnewâ€ programs to include both programs seeking accreditation for the first time and existing programs that apply for a permanent complement increase to train additional residents at new rural training site(s) as part of an RTP. To be responsive to the program purpose and be considered for funding, you must propose a new rural residency program in a qualifying medical specialty. For this funding opportunity, we do not consider the following to be new programs:
 â€¢Programs that have received accreditation or a permanent complement increase for their proposed rural residency program before the application due date.
 â€¢Programs seeking to increase resident full-time equivalents at an existing RTP site without adding a new rural training site.</t>
  </si>
  <si>
    <t>Risk Management Education Partnership Program</t>
  </si>
  <si>
    <t>USDA-RMA</t>
  </si>
  <si>
    <t>Risk Management Agency</t>
  </si>
  <si>
    <t>The Federal Crop Insurance Corporation (FCIC), operating through the Risk Management Agency (RMA), announces its intent to award up to $2 million to fund the Risk Management Education Partnership Program. The agency awards cooperative agreement(s) for this opportunity. The RMAâ€™s Risk Management Education Division and Regional Offices will be substantially involved in the work performed under the agreement and will undertake activities such as the following:a. Collaborate with the recipient to review and approve a promotional program and risk management materials to raise awareness of crop insurance and inform producers about training and informational opportunities in the designated state(s).b. Collaborate with the recipient on delivering education to producers and agribusiness leaders in the designated state(s), including: (a) reviewing and approving all educational activities for producers and agribusiness leaders in advance; (b) advising the project leader on technical issues related to crop insurance education and information; (c) assisting the project leader in informing crop insurance professionals about educational activity plans and scheduled meetings; and (d) promoting and creating awareness of scheduled partnership activities. Regional Office involvement inactivities depend on available resources.c. Conduct an evaluation of the recipientâ€™s performance in meeting the project tasks.Application deadline: Submit via Results Verification System (RVS) https://rvs.umn.edu/Home.aspx, by 11:59 pm Eastern Time (ET) on March 11, 2025.Applicants must submit their applications electronically via the Results Verification System (RVS) https://rvs.umn.edu, A tutorial on how to apply is available athttp://rvs.umn.edu/rmaresources.January 21, 2025: NOFO/RVS Training Conducted for Potential Applicants at 11:00am ET: https://z.umn.edu/RMA-2025January 30, 2025: NOFO/RVS Training Conducted for Potential Applicants at 3:00pm ET: https://z.umn.edu/RMA-2025 January 15, 2025, through March 05, 2025 (Each Wednesday): Pre-Award and Post Award Support Service information sessions can be accessed at 1:00pm ET (See NOFO Key Dates)</t>
  </si>
  <si>
    <t>Research on Financing and Other Non-Zoning Barriers to Increasing Missing Middle Housing Supply</t>
  </si>
  <si>
    <t>For profit organizations other than small businesses Individuals, foreign entities, and sole proprietorship organizations are not eligible to compete for, or receive, awards made under this announcement.</t>
  </si>
  <si>
    <t>This NOFO announces the availability of up to $500,000 to fund research on financing and other non-zoning barriers to constructing Missing Middle Housing (MMH). Increasing the housing supply is key to overcoming the housing affordability crisis in the United States. MMH is housing that ranges in size from Accessory Dwelling Units (ADUs) to duplexes, townhomes, and small-scale apartment buildings.  MMH may be an effective tool to increase the supply of both market and affordable housing. However, it comprises only a small segment of the total housing stock. MMH development involves different characteristics and processes compared to other more common housing types. This makes it challenging to build MMH to scale. More research is needed to understand the prevalence and impact of financing and other non-zoning barriers to MMH construction. Research funded under this NOFO is intended to help HUD, state and local governments, and private stakeholders by achieving the following NOFO Study Objectives:Identify significant financing and other non-zoning barriers to producing MMH. This includes the ways these barriers prohibit producing MMH and the effect of these barriers on producing new housing units.Locate successful strategies at the federal, state, and local levels to overcome identified barriers. These might include, but are not limited to, financing solutions, policy levers, and technical assistance.Recommend strategies that are feasible, cost-effective, evidence-based, and may increase MMH supply. Proposed strategies should be relevant across a range of housing market conditions and jurisdiction types.Awards made under this NOFO will be cooperative agreements and, therefore, the awardee shall anticipate substantial involvement, as defined in Section III.A, by subject matter experts from the office of Policy Development &amp; Research (PD&amp;R).This NOFO is intended to fund proposals to research financing and other non-zoning barriers to increasing MMH supply. Applications requesting funding for construction projects are ineligible and will not be considered.</t>
  </si>
  <si>
    <t>NIJ FY25 Research and Evaluation on Hate Crimes</t>
  </si>
  <si>
    <t>Independent school districts Federal agencies and Other Units of Local Government</t>
  </si>
  <si>
    <t>This funding opportunity seeks proposals for research and evaluation projects to inform policy and practice to prevent and combat hate crimes and their effects under two categories: (1) preventing and addressing hate crimes and (2) school-based hate crimes. Under the first category, preventing and addressing hate crimes, NIJ seeks applications for (a) evaluations of interventions to prevent hate crimes; (b) research to improve understanding of strategies used by targeted communities and their members to reduce the risk of hate crime victimization; (c) evaluations of interventions to address the needs of hate crime survivors and their communities; and (d) research to improve understanding, identification, and response to understudied bias types and hate crime motivations. Please see the Eligible Applicants section for the eligibility criteria.
â€¢ Category 1: Research and Evaluation on Preventing and Addressing Hate Crimes
â€¢ Category 2: Research and Evaluation on School-Based Hate Crimes</t>
  </si>
  <si>
    <t>Disseminating PCOR Evidence for Long COVID Care into Practice Through Up-to-Date Clinical Decision Support</t>
  </si>
  <si>
    <t>HHS-AHRQ</t>
  </si>
  <si>
    <t>Agency for Health Care Research and Quality</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</si>
  <si>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</si>
  <si>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is NOFO is to disseminate patient-centered outcomes (PCOR) evidence for Long COVID care into clinical practice through clinical decision support (CDS) that is consistently updated as best practices and new evidence emerge.</t>
  </si>
  <si>
    <t>Single Source: Bench to Bassinet Congenital Heart disease Advancing New understanding in GEnomics Cohort (B2B CHANGE Cohort) Data Coordinating Center (U01 Clinical Trial Not Allowed)</t>
  </si>
  <si>
    <t>Public and State controlled institutions of higher education Other Eligible Applicants include the following:
Non-domestic (non-U.S.) Entities (Foreign Organizations) are not eligible to apply.
Non-domestic (non-U.S.) components of U.S. Organizations are not eligible to apply.
Foreign components, as defined in the NIH Grants Policy Statement, are allowed.
Only the following applicant is eligible to apply for this single source funding: Cincinnati Children's Hospital Medical Center.</t>
  </si>
  <si>
    <t>The B2B Pediatric Cardiac Genomics Consortium (PCGC) (http://www.benchtobassinet.com/) will evolve to the B2B CHANGE Cohort (Congenital Heart disease Advancing New understanding in GEnomics). The B2B CHANGE Cohorts mission will be to conduct long-term clinical follow up on participants from the original PCGC Cohort, to perform deeper cohort phenotyping and to support investigators in applying for funding to conduct multi-center, collaborative ancillary studies to further understand how genetic variants relate to clinical outcomes. The Administrative Coordinating Center (ACC) will serve to lead and advance data and resource management and sharing, and coordinate critical data collection and participant outreach efforts at the clinical research sites. The ACC will work in a collaborative fashion with site PIs, as well as the broader congenital heart disease (CHD) research community.</t>
  </si>
  <si>
    <t>FY25 IIJA/IRA Bureau of Land Management California Fuels Management and Community Fire Assistance</t>
  </si>
  <si>
    <t>Nonprofits having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</si>
  <si>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BLM California has an opportunity to work with partner organizations to assist with fuels management and community fire assistance program activities to reduce the risk and impact of catastrophic wildfires to local communities through coordination, reducing the amount of hazardous fuels, and furthering the education of landowners about wildfire prevention and mitigation. These activities will assist BLM in addressing the effects of climate change by working to create resilient landscapes and communities, will create jobs, and it will help further conservation and restoration efforts by providing an opportunity to support planning and implementation of hazardous fuels reduction projects in wildland urban interface (WUI) areas and education and outreach programs that help create fire adapted communities and resilient landscapes. This program supports the Infrastructure Investment and Jobs Act (IIJA) Public Law 117-58, Sec. 40803 Wildfire Risk Reduction. This program supports projects funded through the Inflation Reduction Act (IRA), Sections 50221 Resilience, 50222 Ecosystems Restoration and 50303 DOI. California Program Strategic Goals: Accomplish fuels management activities on federal and non-federal land. Develop and implement fire education, training, and/or community action plans/programs. Conduct Community Wildfire Protection Plans (CWPPs), community wildfire assessments, and planning activities. Expand community capability to enhance local employment opportunities. Develop and implement short and long-term monitoring and maintenance plans for hazardous fuels reduction, community fire education and training, and community action programs.</t>
  </si>
  <si>
    <t>Bipartisan Infrastructure Law (BIL) Notice of Intent to Re-Issue Funding Opportunity Announcement No. DE-FOA-0003099</t>
  </si>
  <si>
    <t>Others (see text field entitled "Additional Information on Eligibility" for clarification) Please refer to Funding Opportunity Announcement which will address eligibility requirements.</t>
  </si>
  <si>
    <t>The "Notice of Intent to Issue" is for informational purposes only; the Department of Energy is not seeking comments on the information in this notice and applications are not being accepted at this time. Any information contained in this notice is subject to change.
Notice of Intent No. DE-FOA-0003546
The Office of Manufacturing and Energy Supply Chains (MESC) intends to re-issue Funding Opportunity Announcement (FOA) DE-FOA-0003099 entitled â€œBipartisan Infrastructure Law 40207(b) Battery Materials Processing and 40207(c) Battery Manufacturing Grants Round IIâ€. Projects awarded under this FOA will be funded, in whole or in part, with funds appropriated by the Infrastructure Investment and Jobs Act, also more commonly known as the Bipartisan Infrastructure Law (BIL).</t>
  </si>
  <si>
    <t>FY 2025 PRM Request for Full Proposals for Chad and Nigeria</t>
  </si>
  <si>
    <t>Others (see text field entitled "Additional Information on Eligibility" for clarification) i. Nonprofits having a 501(c)(3) status with the IRS, other than institutions of higher education_x000D_
_x000D_
ii. Nonprofits that do not have a 501(c)(3) status with the IRS, other than institutions of higher education_x000D_
_x000D_
iii. International Organizations.  International multilateral organizations, such as United Nations agencies, should not submit proposals through Grants.gov in response to this Notice of Funding Opportunity announcement.  Multilateral organizations that are seeking funding for programs relevant to this announcement should contact the Program Officer (as listed below) on or before the closing date of the funding announcement.</t>
  </si>
  <si>
    <t>Proposed activities must primarily support refugees and asylum seekers in Chad and Nigeria. Due to PRM's mandate to provide protection, assistance, and sustainable solutions for refugees and conflict victims, PRM will only consider those programs that target at least 50 percent of their participants as refugees and other populations of concern. Proposals must align with Humanitarian Protection and Assistance. Proposals must focus on the Education (Chad) or Health (Nigeria) programmatic sectors.</t>
  </si>
  <si>
    <t>NIJ FY25 Community-Based Violence Intervention and Prevention Initiative (CVIPI) Research and Evaluation</t>
  </si>
  <si>
    <t>Public and State controlled institutions of higher education Other Units of Local Government</t>
  </si>
  <si>
    <t>This funding opportunity seeks applications for rigorous research and evaluation projects that advance understanding of OJP Community-Based Violence Intervention and Prevention Initiatives (CVIPI). The CVIPI program provides resources to support evidence-informed violence intervention and prevention programs in communities across the United States. This NOFO includes two funding categories:
â€¢ Category 1. NIJ is interested in funding Site-Based Evaluations of Programs funded under the OJP fiscal year (FY) FY22, FY23, and FY24 CVIPI NOFOs.
â€¢ Category 2. NIJ is interested in funding Other Community-Violence Evaluations and Research in three topic areas: (1) A National Survey of CVIPI programs, (2) The Role(s) of Women in Community-based Violence, and (3) Research of Small Capacity CVIPI Programs.</t>
  </si>
  <si>
    <t>BJA FY25 DOJ Jails and Justice Support Center</t>
  </si>
  <si>
    <t>This funding opportunity seeks a training and technical assistance (TTA) provider to operate the DOJ Jails and Justice Support Center (JJSC), which assists state and local leaders in creating and sustaining safe and effective environments for people who visit, live, and work in jails. The Center provides the nationâ€™s jails with information, resources, training, and technical assistance focused on core topics such as screening and assessment, medical and behavioral health, use of force, leadership and culture, human capital, operations, programming, and reentry.</t>
  </si>
  <si>
    <t>BJA FY25 Smart Reentry: Housing Demonstration Program</t>
  </si>
  <si>
    <t>State governments Units of local government</t>
  </si>
  <si>
    <t>This funding opportunity seeks to support state, local, and tribal governments to improve reentry and reduce recidivism by expanding and/or increasing access to housing for people who are currently or formerly involved in the criminal justice system. Prior to release from incarceration, people will be screened, assessed, and identified for program participation. The program will help jurisdictions assess their reentry systems, identify strengths and gaps, and then build capacity for improved housing options for adults released from prison or jail. Please see the Eligible Applicants section for the eligibility criteria.</t>
  </si>
  <si>
    <t>BJA FY25 Connect and Protect: Law Enforcement Behavioral Health Response Program</t>
  </si>
  <si>
    <t>City or township governments Units of local government</t>
  </si>
  <si>
    <t>This funding opportunity seeks to fund programs that support collaborations between law enforcement and behavioral health agencies to improve public safety responses and outcomes for people who qualify with behavioral health needs. The goal is to implement deflection and diversion programs at first contact, such as crisis response and intervention teams, co-responders and other collaborative model approaches. The program focuses on improving safety and well-being for people with mental health disorders (MHDs) or co-occurring mental health and substance use disorders (MHSUDs). Eligible entities can prepare, create, or expand collaborative projects. Please see the Eligible Applicants section for the eligibility criteria.</t>
  </si>
  <si>
    <t>NIJ FY25 Research and Evaluation for the Testing and Interpretation of Physical Evidence in Publicly Funded Forensic Laboratories</t>
  </si>
  <si>
    <t>Others (see text field entitled "Additional Information on Eligibility" for clarification) Federal agencies, Federally Funded Research and Development Centers (FFRDCs), University Affiliated Research Centers (UARCs), and Other units of local government.</t>
  </si>
  <si>
    <t>This funding opportunity seeks proposals for research and evaluation studies to produce practical knowledge that has the potential to improve the examination and interpretation of physical evidence in forensic science laboratories across the community of practice. This program furthers DOJâ€™s mission by supporting the development of new knowledge and tools to address the challenges of crime and justice in the United States. NIJâ€™s Forensic Science Strategic Research Plan and Forensic Science R&amp;D Technology Working Group (TWG) identify current research priorities and technology challenges encountered in operational forensic science laboratories. Research-based knowledge and newly developed tools that work towards addressing these priorities and resolving these challenges facilitate the criminal justice communityâ€™s ability to enforce the law, promote public safety, prevent and reduce crime, and ensure fair and impartial administration of justice.</t>
  </si>
  <si>
    <t>Rural Communities Opioid Response Program   Northern Border Rural Workforce</t>
  </si>
  <si>
    <t>County governments All domestic public or private, non-profit and for-profit, entities with a physical location in the states of Maine, New York, New Hampshire, or Vermont are eligible to apply. This includes: Public institutions of higher education Private institutions of higher education Non-profits with or without a 501(c)(3) IRS status For-profit organizations, including small businesses State, county, city, township, and special district governments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</si>
  <si>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Rural Communities Opioid Response Program â€“ Northern Border Rural Workforce (RCORP-Northern Border) is to improve health care in rural areas within the Northern Border Regional Commissionâ€™s service area (Maine, New Hampshire, New York, Vermont) by enhancing behavioral health workforce capacity</t>
  </si>
  <si>
    <t>Enabling Discovery through GEnomics</t>
  </si>
  <si>
    <t>Others (see text field entitled "Additional Information on Eligibility" for clarification) *Who May Serve as PI:
There are no restrictions or limits.</t>
  </si>
  <si>
    <t>Through the Enabling Discovery through GEnomics (EDGE) program, the National Science Foundation (NSF) and the National Institutes for Health (NIH) support research to advance understanding of comparative and functional genomics. The EDGE program supports the development of innovative tools, technologies, resources, and infrastructure that advance biological research focused on the identification of the causal mechanisms connecting genes and phenotypes. The EDGE program also supports functional genomic research that addresses the mechanistic basis of complex traits in diverse organisms within the context (environmental, developmental, social, and/or genomic) in which they function. These goals are essential to uncovering the rules that underlie genomes-to-phenomes relationships and predict phenotype, an area relevant to Understanding the Rules of Life: Predicting Phenotype, one of the 10 Big Ideas for NSF investment. The goals also support the NHGRI priority to establish the roles and relationships of all genes and regulatory elements in pathways, networks, and phenotypes.</t>
  </si>
  <si>
    <t>The Academy for Women Entrepreneurs (AWE)</t>
  </si>
  <si>
    <t>DOS-GEO</t>
  </si>
  <si>
    <t>U.S. Mission to Georgia</t>
  </si>
  <si>
    <t>Others (see text field entitled "Additional Information on Eligibility" for clarification) Not-for-profit organizations, including think tanks and civil society/non-governmental organizations  _x000D_
Individual alumni of all USG-funded or USG-sponsored exchange programs that are residents of Georgia</t>
  </si>
  <si>
    <t xml:space="preserve">The Public Diplomacy Section of the U.S. Embassy Tbilisi announces an open competition for not-for-profit organizations, and Individual alumni of all USG-funded or USG-sponsored exchange programs that are residents of Georgia to submit applications to carry out the 2025 Academy for Women Entrepreneurship (AWE) program. We are seeking the implementing partner that will serve as a liaison with U.S. Embassy Georgia and AWE stakeholders, lead implementation, facilitate communication with AWE participants, encourage their successful completion of the program, monitor and report on progress, promote the program with the public, and amplify the core goals of the initiative in supporting women and economic prosperity in Georgia. 
Those who are interested in implementing the 2025 AWE should submit a proposal package to tbilisigrants@state.gov by January 20, 2025, 11:59p.m. Applications submitted directly to ECA will not be considered. Please follow all instructions below. 
 PROGRAM DESCRIPTION
The U.S. Department of State Bureau of Educational and Cultural Affairs (ECA) established the Academy for Women Entrepreneurs in 2019 to provide women with the knowledge, networks, and access they need to launch or scale successful businesses: 
By promoting womenâ€™s economic opportunities and ensuring that women have the capabilities and resources needed to participate in the economy, the AWE program directly supports the U.S. National Strategy on Gender Equity and Equality. 
AWE uses a hybrid model that combines the online platform (developed through a partnership between Arizona State Universityâ€™s Thunderbird School of Global Management and global copper mining company Freeport-McMoRan) with online and/or in-class mentoring and facilitation. Through AWE, participants learn core business skills, then get together as a class to discuss the material with experienced implementers, local mentors, and U.S. Exchange Alumni. Partnerships with local NGOs, universities, and chambers of commerce offer women the opportunity to amplify their newly learned business skills and network with other businesspeople through speed mentoring, pitch competitions, and entrepreneurship fairs. Applicants may also use a new online curriculum, in whole or in part â€“ the Najafi 100 Million Learners Global Initiative â€“ alongside or instead of DreamBuilder.
At a local level, AWE harnesses the power of public-private sponsors, local partnerships, and U.S. Exchange Alumni networks to help women and their businesses grow. By giving women the tools and the confidence they need, the AWE program is generating income and creating jobs in women-led businesses, driving local prosperity in more than 100 countries worldwide. 
Program Objectives: 
 Provide resources for English-speaking female entrepreneurs of Georgia to engage in U.S-style online and/or in-person education with guided facilitation from USG exchange alumni, local business leaders, or other local partners. 
 Foster networks that support participantsâ€™ access to peer-to-peer mentors, business partners, and scaling opportunities with businesses in the region and in the United States. 
 Engage AWE alumni with volunteer, professional, and educational opportunities in ways to promote business expansion. 
 Share lessons and practices from the United States with new businesses operating in the Georgian entrepreneurial ecosystems and prepare them for potential collaboration with U.S. clients, customers, and investors. The project also aims to empower women entrepreneurs in Georgia to fulfill their economic potential, and in doing so, create conditions for a more prosperous society. 
Participants and Audiences: 
Female entrepreneurs of Georgia </t>
  </si>
  <si>
    <t>OVW Fiscal Year 2025 Grants to Indian Tribal Governments Program</t>
  </si>
  <si>
    <t>Native American tribal governments (Federally recognized) Eligible applicants are limited to: Indian Tribal governments, authorized designees of Indian Tribal governments, and Tribal consortia.</t>
  </si>
  <si>
    <t>The Grants to Indian Tribal Governments Program, referred to as the Tribal Governments Program, assists Tribal governments (or their authorized designees) to respond to domestic violence, dating violence, sexual assault, sex trafficking, and stalking in Tribal communities.</t>
  </si>
  <si>
    <t>SMART FY25 Maintenance and Operation of the Dru Sjodin National Sex Offender Public Website</t>
  </si>
  <si>
    <t>USDOJ-OJP-SMART</t>
  </si>
  <si>
    <t>SMART</t>
  </si>
  <si>
    <t>Others (see text field entitled "Additional Information on Eligibility" for clarification) 1) Nonprofit Organizations: Nonprofits a 501(c)(3) status with the Internal Revenue Service (IRS), other than institutions of higher education; and 2) For-Profit Organizations: Organizations other than small businesses, as well as small businesses (where the company meets the size standards established by the U.S. Small Business Administration (SBA) for most industries in the economy)</t>
  </si>
  <si>
    <t>General Purpose of the Funding:
The Office of Justice Programs has supported NSOPW since 2005. In FY 2008, the SMART Office assumed management responsibility for this program as NSOPW is closely aligned with SMARTâ€™s mission, and jurisdiction participation (including states, the District of Columbia, principal U.S. territories and certain federally recognized Indian Tribes) is required by SORNA. Since 2008, Congress has specifically appropriated funds for NSOPW. At present, all 50 states, the District of Columbia, the territories of American Samoa, Commonwealth of the Northern Mariana Islands, Guam, Puerto Rico, and the U.S. Virgin Islands and 151 Tribes participate in NSOPW.
NSOPW operates similarly to a search engine and uses web services to access registered sex offender information directly from individual jurisdictions. NSOPW links to state, territory, the District of Columbia, and Tribal public sex offender registries and allows users to conduct nationwide searches for registered sex offenders with one query rather than searching jurisdiction by jurisdiction. Since its inception, NSOPW has been heavily queried by the public and has had over 735 million searches and over 2 billion page views.   In 2016, the SMART Office launched the NSOPW mobile application, allowing users to search from any mobile device. Available on Android and iOS, users have used the application to conduct over 11 million searches.  
In addition to the maintenance and support of NSOPW, this award supports the maintenance and enhancement of the SORNA Exchange Portal, a secure information-sharing system for jurisdictions as required under SORNA. This internet-based system provides a venue to streamline communication and coordination among jurisdictionsâ€™ sex offender registry officials, as well as federal agencies. 
The cooperative agreement also supports the Tribe and Territory Sex Offender Registry System (TTSORS) and the Sex Offender Registry Tool (SORT). TTSORS is a web-based sex offender registry system that is free of charge to U.S territories and Indian Tribes that have elected to implement SORNA. TTSORS functions as both the administrative registry system and the public sex offender registry website for jurisdictions, which allows for participation in NSOPW. TTSORS also streamlines data sharing for Tribes participating in DOJâ€™s Tribal Access Program (TAP) by automatically sending registry information to the FBIâ€™s National Sex Offender Registry (NSOR) and ensuring data synchronization between TTSORS and NSOR. In partnership with TAP, this cooperative agreement supports the development and enhancement of the TTSORS-NSOR interconnection tool, enabling over 100 Tribal sex offender registry databases to directly connect to NSOR and significantly increasing the accuracy, completeness, and timeliness of Tribal data shared with law enforcement nationwide. SORT is a similar tool that may be used by registration agencies in states, U.S. territories and the District of Columbia, and provides a free customizable administrative registry system and public sex offender registry website. It is designed to enhance information-sharing capabilities and maximize efficiency and cost effectiveness of registry system setup and ongoing maintenance. 
The award also supports training for each of the technology tools and related resource development for jurisdictions, as well as the monitoring, maintenance, and updating of the NSOPW mobile applications for Android and iOS and NSOPWâ€™s social media page.
Applicants should refer to Application Contents, Submission Requirements, and Deadlines: Budget Detail Form for information on allowable and unallowable costs that may inform the development of their project design.</t>
  </si>
  <si>
    <t>Street Medicine Interventions for People with HIV who are Unsheltered - Demonstration Sites</t>
  </si>
  <si>
    <t>Native American tribal governments (Federally recognized) You can apply if you are eligible for funding under Ryan White HIV/AIDS Program Parts A - D of Title XXVI of the Public Health Service (PHS) Act. These entities include:Types of eligible organizationsThese types of domestic* organizations may apply:Public institutions of higher educationPrivate institutions of higher educationNon-profits with or without a 501(c)(3) IRS statusState, county, city, township, and special district governments, including the District of Columbia, domestic territories, and freely associated statesIndependent school districtsNative American tribal governmentsNative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</si>
  <si>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high-quality, mixed methods, multi-site, implementation science evaluation, and cost analysis across demonstration sites.
 â€¢Objective 4: Develop and disseminate user-friendly, multimedia implementation materials that will serve as tools for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providing and clients receiving care due to the different environments and availability of resources in each setting. Local and state regulations may determine which health care services can be delivered in which setting and when.
 1. Review 2. Get Ready 3. Prepare 4. Learn 5. Submit 6. Award Contacts
 Step 1: Review the Opportunity 10
 These components are important to understand and include in all street medicine programs.
 Health care delivered in traditional settings, such as a clinic or mobile unit, may not address the needs of those who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a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</si>
  <si>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FY 2025 High Priority Program-Commercial Motor Vehicle (HP-CMV)</t>
  </si>
  <si>
    <t>The U.S. Department of Transportationâ€™s Federal Motor Carrier Safety Administration (FMCSA) announces the Fiscal Year (FY) 2025 High Priority-Commercial Motor Vehicle (HP-CMV) program Notice of Funding Opportunity (NOFO), Funding Opportunity Number FM-MHP-25-001, to solicit applications from eligible entities to support HP-CMV program activities.
The HP grant program is governed by 49 U.S.C. Â§Â§ 31102(l), as modified by Sections 23001(b) and 23003 through 23004 of Public Law Number 117-58 (2021), and 49 CFR Â§ 350. The HP grant program is governed by 49 U.S.C. Â§Â§ 31102(l), as modified by Sections 23001(b) and 23003 through 23004 of Public Law Number 117-58 (2021), and 49 CFR Â§ 350. 
For FY 2025, FMCSA anticipates awarding approximately $46,626,614  combined under the HP-CMV and HP-Innovative Technology Deployment (HP-ITD) programs. The HP-ITD program will be advertised under a separate NOFO.  Final funding amounts are subject to the availability of funding appropriated by Congress.</t>
  </si>
  <si>
    <t>Understanding the Intersection of Social Inequities to Optimize Health and Reduce Health Disparities: The Axes Initiative (R01 Clinical Trial Optional)</t>
  </si>
  <si>
    <t>Native American tribal organizations (other than Federally recognized tribal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</si>
  <si>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Research shows that intersecting systems of privilege and oppression produce and sustain wide and unjust variations in health. The Axes Initiative will support research to understand health at the intersections of social statuses such as race, ethnicity, socioeconomic status, sexual orientation, and ability, by examining contributions of social and other determinants of health.</t>
  </si>
  <si>
    <t>Office of Postsecondary Education (OPE): International Foreign Language Education (IFLE): Fulbright-Hays Faculty Research Abroad (FRA) Fellowship Program, Assistance Listing Number 84.019A</t>
  </si>
  <si>
    <t>Private institutions of higher education 1.  a.  Eligible Applicants:  Institutions of higher education (IHEs).  Eligible faculty members at the IHE submit their individual research narratives and application forms to their home IHE representative, who compiles all research narratives from faculty and incorporates them into the grant application package that the institution submits electronically through the Department s G6 system on behalf of all applicant faculty at that institution.b.  Individuals Eligible to Receive a Fellowship:  A faculty member is eligible to receive a fellowship if the individual--is a citizen, national or permanent resident of the United States; is employed by an IHE; has been engaged in teaching relevant to their foreign language or area studies specialization for the two years immediately preceding the date of the award; proposes research relevant to their modern foreign language or area studies specialization, which is not dissertation research for a doctoral degree; and possesses sufficient foreign language skills to carry out the dissertation research project.</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</si>
  <si>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ï»¿Purpose of Program: The Fulbright-Hays FRA Fellowship Program provides grants to colleges and universities to fund fellowships for faculty members seeking to improve their area studies and foreign language skills by conducting research abroad. The program is designed to contribute to the development and improvement of the study of modern foreign languages and area studies in the United States.</t>
  </si>
  <si>
    <t>Street Medicine Interventions for People with HIV who are Unsheltered   Capacity Builder Provider (HRSA-25-055) and Street Medicine Interventions for People with HIV who are Unsheltered   Evaluation Provider (HRSA-25-057)</t>
  </si>
  <si>
    <t>Native American tribal governments (Federally recognized) These types of domestic* organizations may apply:  Public institutions of higher education  Private institutions of higher education  Non-profits with or without a 501(c)(3) IRS status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</si>
  <si>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rigorous multisite evaluation grounded in implementation science across demonstration sites. The evaluation will assess barriers and facilitators to implementation, implementation strategies, and cost, among other implementation, and client and services outcomes. Evaluation findings will be documented and shared throughout the initiative to support successful implementation.
 â€¢Objective 4: Develop and disseminate user-friendly, multimedia implementation materials that will serve as a tool for other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and clients because of the different environments and availability of resources in each setting. Local and state regulations may determine which health care services can be delivered in which setting and when. These components are important to understand and include in all street medicine programs.
 Health care delivered in traditional settings, such as a clinic or mobile unit, may not address the needs of those who experience rough sleeping or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and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</si>
  <si>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Special district governments These types of domestic* organizations may apply: Public institutions of higher education Private institutions of higher education Non-profits with or without a 501(c)(3) IRS status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</si>
  <si>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Capacity Building Provider (HRSA-25-055), the Demonstration Sites (HRSA-25-056), and the Evaluation Provider (HRSA-25-057) will collaborate to achieve the initiativeâ€™s goal and five objectives: Goal: Adapt, document, implement, evaluate, and disseminate street medicine interventions that effectively respond to the needs of people with HIV who are unsheltered. â€¢Objective 1: Build capacity of demonstration sites to effectively respond to the health care needs of people with HIV who are unsheltered. â€¢Objective 2: Achieve successful uptake and sustainability of adapted and implemented interventions by RWHAP recipient staff and clients. â€¢Objective 3: Conduct a rigorous multisite evaluation grounded in implementation science across demonstration sites. The evaluation will assess barriers and facilitators to implementation, implementation strategies, and cost, among other implementation, and client and services outcomes. Evaluation findings will be documented and shared throughout the initiative to support successful implementation. â€¢Objective 4: Develop and disseminate user-friendly, multimedia implementation materials that will serve as a tool for other RWHAP settings to replicate street medicine interventions and provide enhanced care and support for their clients. â€¢Objective 5: Use the Centers for Medicare and Medicaid (CMS) Place of Service Codes that reflect place where services are rendered. Street Medicine Overview As a client-centered service, street medicine is designed to bring the services offered in a clinic into the unsheltered spaces where people live, spend time, and congregate such as the streets and wooded areas. As described by subject matter experts globally, street medicine is conducted where people live and must include a change in traditional health care delivery structure to engage those unstably housed. Street medicine is not a new form of health care delivery. Rather, street medicine programs have existed for decades. These programs have demonstrated the ability to provide health care service in an effective manner, resulting in improved health outcomes. Street medicine programs may take a different approach to address components of delivering health care services than traditional health care settings. Some components are the safety, local and state regulations, and selection of services to offer people. Clinic-based and street medicine interventions have different approaches for assuring safety of the teams and clients because of the different environments and availability of resources in each setting. Local and state regulations may determine which health care services can be delivered in which setting and when. These components are important to understand and include in all street medicine programs. Health care delivered in traditional settings, such as a clinic or mobile unit, may not address the needs of those who experience rough sleeping or are unsheltered. Barriers such as facility hours of operation and policies related to entry (e.g., no pets, no carts, requirements for shirts and shoes) impact access to and retention in care. Stigma and discrimination may be other factors that prevent those with previous poor experiences in clinic-based settings who are unsheltered from entering traditional settings for health care. Because people who are rough sleepers or are unsheltered experience a combination of varied social determinants of health challenges, street medicine teams encounter populations with chronic disease co-morbidities, mental health and substance use disorders, and other structural factors requiring innovative approaches (see also Substance Abuse and Mental Health Services Administration (SAMHSA)â€™s 2023-2026 Strategic Plan). Based on the 2022 RWHAP Services Report, 5.2% of clients served were unstably housed with another 6.9% temporarily housed. Clients who were unstably housed had a viral suppression of 72.4% and people who were temporarily housed had a viral suppression of 84.1%, which is lower viral suppression than those who have stable housing. To end the HIV epidemic in the United States, strategies that tailor services to meet the needs of people who are not engaged in care or virally suppressed where they are located are required. Street medicine, as a form of health care delivery, can be an effective intervention to help RWHAP clients who are not well served by traditional health care delivery systems. Therefore, while street medicine focuses on those people who are unstably housed, it can also serve those who are averse to a traditional clinic building environment.</t>
  </si>
  <si>
    <t>Nursing Home Staffing Campaign</t>
  </si>
  <si>
    <t>HHS-CMS</t>
  </si>
  <si>
    <t>Centers for Medicare &amp; Medicaid Services</t>
  </si>
  <si>
    <t>The Centers for Medicare   Medicaid Services (CMS) is committed to improving safety and quality of care in the nationâ€™s nursing homes. Nursing home staffing is a critical factor for improving care for nursing home residents.However, nursing homes sometimes struggle to hire enough nursing staff to meet residentsâ€™ needs. Additionally, state survey agencies, who are responsible for inspecting nursing homes for compliance with federal regulations, also struggle to hire nurses to conduct these inspections. The Nursing Home Staffing Campaign (NHSC) is aimed at increasing the availability of nurses to work in the nursing home environment, such as in qualifying nursing homes or in an oversight capacity for a state inspection agency.This Notice of Funding Opportunity (NOFO) is focused on helping to recruit Registered Nurses (RNs) to work in nursing homes by offering financial incentives. Through this NOFO, CMS is accepting applications for cooperative agreements to entities who will administer financial incentives, such as tuition reimbursement and stipends, to RNs to work for three years in a qualifying nursing home or in an oversight role with a state agency</t>
  </si>
  <si>
    <t>U.S. Advanced Nuclear Energy Licensing Cost-Share Grant Program</t>
  </si>
  <si>
    <t xml:space="preserve">Native American tribal organizations (other than Federally recognized tribal governments) </t>
  </si>
  <si>
    <t>This NOFO will provide direct assistance for advanced reactor and supporting facilitiesâ€™ regulatory review activities by supporting cost-shared grants to fund a portion of Nuclear Regulatory Commission (NRC) fees for pre-application and application review activities. Cost-shared grants will be awarded to selected applicants seeking funds in support of work with the NRC to increase regulatory certainty, review topical reports or white papers, and other efforts focused on obtaining certification and licensing approvals.</t>
  </si>
  <si>
    <t>RFI on Sustainable Agricultural Water Management in Guatemala Activity</t>
  </si>
  <si>
    <t>USAID-GUA</t>
  </si>
  <si>
    <t>Guatemala USAID-Guatemala City</t>
  </si>
  <si>
    <t>USAID/Guatemala seeks information to support the feasibility assessment and design of the Sustainable Water Management (SWM) activity. This RFI is intended to gather insights from organizations experienced in agricultural and multiple-use water resource management, climate adaptation, and infrastructure development, specifically those with relevant expertise in Guatemala or similar regions. Responses will inform USAID in developing a detailed plan to address irrigation and water resource limitations affecting smallholder farmers, especially in the Western Highlands and the departments of Alta and Baja Verapaz.Please note the following:â— This RFI is issued solely for information and planning purposes. It does not constitute a Notice of Funding Opportunity (NOFO) or a commitment from USAID. Responses to this RFI are voluntary and will be used solely for informational purposes.â— Responding to this RFI will neither confer an advantage nor preclude any organization or individual from participating in any subsequent RFA/RFP/RFTOP. All comments received will be strictly for information-gathering and planning purposes.â— Responses to this RFI are non-binding on the parties involved.â— Submission of information in response to this RFI is voluntary, and the U.S. Government will not compensate any respondent for the cost incurred in providing information.</t>
  </si>
  <si>
    <t>Findable Accessible Interoperable Reusable Open Science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</si>
  <si>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Other Federal Agencies and Federally Funded Research and Development Centers (FFRDCs): Prospective proposers from other Federal Agencies and FFRDCs, including NSF sponsored FFRDCs, must follow the guidance in PAPPG Chapter I.E.2 regarding limitations on eligibility.</t>
  </si>
  <si>
    <t>The FAIROS Program seeks to support a broad range of transformative open science activities including but not limited to Research, education, and socio-technical cyberinfrastructure development capacities that advance sustainable multi-disciplinary findable, accessible, interoperable, reusable (FAIR) research data management (RDM) and open science capabilities, Piloting new models of scientific communication and publication that improve efficiency and accessibility, Developing FAIROS data portals, research data commons, RDM as a national service, and Lowering barriers to accessing, curating, integrating, linking, managing, sharing, and storing data across many disciplinary domains, irrespective of data size.
The program supports innovation across the cyberinfrastructure (CI) ecosystem to address accessibility, data curation, research data management, discoverability, reliability, reproducibility, preservation, sustainability, and utility of research products, including data software, and code, developed as part of funded projects.
FAIROS proposals must select one of two tracks to focus on, either: 1) Disciplinary Improvements to targeted scientific communities, or Cross-Cutting Improvements that apply to many or most scientific disciplines. In the case of proposals focused on Disciplinary Improvements, it is strongly recommended that prospective PIs contact a program officer from the list of Cognizant Program Officers in the directorate closest to the major disciplinary impact of the proposed work to ascertain that the scientific focus and budget of the proposed work are appropriate for this solicitation. In the case of proposals focused on Cross-Cutting Improvements, it is strongly recommended that prospective PIs contact the cognizant program officer from the Office of Advanced Cyberinfrastructure (OAC).
After selecting either Disciplinary Improvements or Cross-Cutting Improvements in which to focus research, the proposal must include the kinds of activities relevant to the selected track. Standard research proposals are the only type of proposal accepted in response to this solicitation.
The FAIROS Program is undertaken in support of the US NSF Public Access Initiative.
For more information on the US NSF Public Access Initiative please visit https://new.nsf.gov/public-access.</t>
  </si>
  <si>
    <t>USAID Policy Reform Support activity</t>
  </si>
  <si>
    <t>BJA FY25 Advancing Data in Corrections Initiative</t>
  </si>
  <si>
    <t>This funding opportunity seeks a training and technical assistance (TTA) provider to bolster state correctional agenciesâ€™ capacity to use data to inform policy and operational decision making through a combination of direct assistance, resources, and training. This initiative will provide both dedicated, agency-specific assistance via a cohort of embedded data analysts in up to ten correctional agencies for one year, as well as in-depth training and other resources for corrections analysts nationwide. Combined, these resources will help corrections leaders, staff, and stakeholders unlock the power of data to improve efficiency, effectiveness, and outcomes in corrections.</t>
  </si>
  <si>
    <t>Complement-ARIE New Approach Methodologies (NAMs) Data Hub and Coordinating Center (U24 Clinical Trial Optional)</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</si>
  <si>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</si>
  <si>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notice of funding opportunity (NOFO) invites applications from eligible organizations to establish the New Approach Methodologies (NAMs) Data Hub and Coordinating Center (NDHCC) for the NIH Common Fund Complement Animal Research In Experimentation (Complement-ARIE) program. The goal of Complement-ARIE is to implement better models for understanding human health and disease outcomes across diverse populations that complement traditional models and make biomedical research more efficient and effective.  The award made through this announcement will support Complement-ARIE by providing a centralized data hub, building a searchable repository for various NAMs data types, establishing standards for data reporting and model credibility, developing and implementing an Integrated Testing Strategies (ITS), developing strategies for interoperability, sustainability data reuse, and developing tools for data analytics, dissemination, and sharing. The awardee will also serve as the coordinating center for the overall Complement-ARIE program.</t>
  </si>
  <si>
    <t>OJJDP FY25 Building Local Continuums of Care to Support Youth Success</t>
  </si>
  <si>
    <t>County governments Other Units of Local Government: For the purposes of this NOFO, other units of local government include towns, boroughs, parishes, villages, or other general purpose political subdivisions of a state.</t>
  </si>
  <si>
    <t>This funding opportunity seeks to assist jurisdictions in planning and assessing promising and evidence-based prevention and intervention services that will inform the development of a community-based continuum of care for youth at risk of becoming involved or are already involved in the juvenile justice system. The long-term goal of this effort is to support sustainable, research-based, and data-informed recidivism-reduction policies, practices, and programming, and the strategic reinvestment of cost savings realized through accompanying reforms into effective prevention and intervention programs for our nationâ€™s youth.</t>
  </si>
  <si>
    <t>NEI Translational Research Program for Therapeutics (R61/R33 Clinical Trial Not Allowed)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</si>
  <si>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</si>
  <si>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Notice of Funding Opportunity (NOFO) is the rapid and efficient translation of innovative laboratory research findings into therapeutics for use by clinicians to treat visual system diseases or disorders. Multidisciplinary teams of scientists and clinicians must focus on generating preclinical data that will lead to the development of biological, pharmacological, medical device and/or combination product interventions. The ultimate goal of this program is to make new technological, biological and pharmacological resources available to clinicians and their patients.
The steps towards this goal should be clearly delineated in a series of milestones that support the development of a therapeutic or device that will lead to an Investigational New Drug (IND) or Investigational Device Exception (IDE) application to the U.S. Food and Drug Administration (FDA) and/or testing in a clinical trial.
This NOFO will utilize a bi-phasic, milestone-driven mechanism of award. The R61 phase will support research that has demonstrated significant preliminary data but has not advanced to the level of clinical translation.  The R33 phase will support research that is in the final states of preclinical development with potential for near-term clinical development.  Support for a single phased award that does not need the R61 Exploratory phase is available in the companion R33, PAR-23-205.</t>
  </si>
  <si>
    <t>NEI Translational Research Program for Therapeutics (R33 Clinical Trial Not Allowed)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</si>
  <si>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</si>
  <si>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The purpose of this NOFO is the rapid and efficient translation of innovative laboratory research findings into therapeutics for use by clinicians to treat visual system diseases or disorders. Multidisciplinary teams of scientists and clinicians must focus on generating preclinical data that will lead to the development of biological, pharmacological, medical device and/or combination product interventions. The ultimate goal of this program is to make new technological, biological and pharmacological resources available to clinicians and their patients.
The steps towards this goal should be clearly delineated in a series of milestones that support the development of a therapeutic or device that will lead to an Investigational New Drug (IND) or Investigational Device Exception (IDE) application to the U.S. Food and Drug Administration (FDA) and/or testing in a clinical trial.
The R33 is to focus on advancing a single therapeutic candidate through IND/IDE -enabling studies, filing an IND package with the FDA, and designing future clinical trials.  Applicants pursuing early stage applied research should consider the companion (R61/R33) NOFO PA-23-XXX.</t>
  </si>
  <si>
    <t>FY25 IIJA/IRA Bureau of Land Management California Plant Conservation and Restoration Management</t>
  </si>
  <si>
    <t>Private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Units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</si>
  <si>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California Plant Conservation and Restoration Program advances the Department of the Interior's priorities to address the climate crisis, restore balance on public lands and waters, advance environmental justice, and invest in a clean energy future. In 2025 the California BLM is focused on meeting the priorities of the National Seed Strategy (www.blm.gov/seedstrategy).The BLM California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California BLM has opportunities to work with partner organizations to do activities such as:Reduce the threats to sage grouse, rare plants, and other sensitive species in high priority habitats by supporting efforts to restore habitat for keystone wildlife and pollinator .Working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</si>
  <si>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U.S. and Foreign Commercial Service Pilot Fellowship Program</t>
  </si>
  <si>
    <t>DOC-ITA</t>
  </si>
  <si>
    <t>International Trade Administration</t>
  </si>
  <si>
    <t>The U.S. and Foreign Commercial Service Pilot Fellowship Program provides outstanding candidates entering graduate school an up to eight-week overseas internship at a U.S. embassy, consulate, or mission. Recipients of the U.S. and Foreign Commercial Service Pilot Fellowship will be required to participate in a mandatory one-week Office of Global Talent Management Orientation and Training in June of 2026.</t>
  </si>
  <si>
    <t>Office of Career, Technical, and Adult Education (OCTAE): Native American Career and Technical Education Program (NACTEP) Assistance Listing Number 84.101A</t>
  </si>
  <si>
    <t>Others (see text field entitled "Additional Information on Eligibility" for clarification) 1. Eligible Applicants:(a) The following entities are eligible to apply under this competition:(1) A federally recognized Indian Tribe.(2) A Tribal organization.(3) An Alaska Native entity.(4) A Bureau-funded school, except for a Bureau-funded school proposing to use its award to support general education secondary school programs.(b) Any Tribe, Tribal organization, Alaska Native entity, or eligible Bureau-funded school may apply individually or as part of a consortium with one or more eligible Tribes, Tribal organizations, Alaska Native entities, or eligible Bureau-funded schools. (Eligible applicants seeking to apply for funds as a consortium must meet the requirements in 34 CFR 75.127 through 75.129, which apply to group applications.)Note:A Tribal college or university may apply as a Tribal organization if it meets the criteria set forth in the definition of a Tribal organization, above.Note:If you are a nonprofit organization, under 34 CFR 75.51, you may demonstrate your nonprofit status by providing: (1) proof that the Internal Revenue Service currently recognizes the applicant as an organization to which contributions are tax deductible under section 501(c)(3) of the Internal Revenue Code; (2) a statement from a State taxing body or the State attorney general certifying that the organization is a nonprofit organization operating within the State and that no part of its net earnings may lawfully benefit any private shareholder or individual; (3) a certified copy of the applicant's certificate of incorporation or similar document if it clearly establishes the nonprofit status of the applicant; or (4) any item described above if that item applies to a State or national parent organization, together with a statement by the State or parent organization that the applicant is a local nonprofit affiliate.</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</si>
  <si>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Common Instructions for Applicants to Department of Education Discretionary Grant Programs, published in the Federal Register on December 7, 2022 (87 FR 75045), and available at www.federalregister.gov/â€‹documents/â€‹2022/â€‹12/â€‹07/â€‹2022-26554/â€‹common-instructions-for-applicants-to-department-of-education-discretionary-grant-programs.
ï»¿Purpose of Program: NACTEP provides grants to improve career and technical education (CTE) programs that are consistent with the purposes of the Carl D. Perkins Career and Technical Education Act of 2006 (the Act or Perkins V), and that benefit Native Americans and Alaska Natives.</t>
  </si>
  <si>
    <t>BJA FY25 Byrne State Crisis Intervention Training and Technical Assistance Program</t>
  </si>
  <si>
    <t>Others (see text field entitled "Additional Information on Eligibility" for clarification) Public, state and private institutions of higher education (including tribal institutions of higher education) that have expertise and experience in managing training and technical assistance (TTA) for evidence-based criminal justice programs.</t>
  </si>
  <si>
    <t>This funding opportunity seeks to support training and technical assistance (TTA) providers to support grantees funded through the FY22â€“23 and FY24 Byrne State Crisis Intervention Program (SCIP) Formula NOFOs as well as future Byrne SCIP Formula NOFOs. The companion NOFO provides funding to states and subrecipients for implementation of state crisis intervention court proceedings and gun violence reduction programs/initiatives. In addition, this TTA program will also support recipients of the Edward Byrne Memorial Justice Assistance Grant (JAG) Program, as the Bipartisan Safer Communities Act modified the JAG Program authorizing statute to include a program area for the implementation of state crisis intervention court proceedings and related programs or initiatives, including but not limited to mental health courts, treatment courts, veterans courts, and extreme risk protection order programs, and it added a reporting and evaluation component for grants awarded under the Byrne SCIP programs or initiatives.</t>
  </si>
  <si>
    <t>NIJ FY25 Graduate Research Fellowship</t>
  </si>
  <si>
    <t>This funding opportunity seeks to support doctoral students whose dissertation research is relevant to preventing and controlling crime, advancing knowledge of victimization and effective victim services, or ensuring the fair and impartial administration of criminal or juvenile justice in the United States. This furthers the DOJ mission by increasing the pool of researchers who are engaged in providing science-based solutions to problems relevant to criminal and juvenile justice policy and practice in the United States. Please see the Eligible Applicants section for the eligibility criteria.</t>
  </si>
  <si>
    <t>Rehabilitation Engineering Research Centers (RERC) Program: RERC on Communication Technologies</t>
  </si>
  <si>
    <t>County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</si>
  <si>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RERC program is to improve the effectiveness of services authorized under the Rehabilitation Act by conducting advanced engineering research on and development of innovative technologies that are designed to solve particular rehabilitation problems or to remove environmental barriers. RERCs also demonstrate and evaluate such technologies, facilitate service delivery system changes, stimulate the production and distribution of new technologies and equipment in the private sector, and provide training opportunities. Under this particular RERC priority, the grantee must conduct research and development activities toward new technologies and products that facilitate communication among people with disabilities who cannot rely on speech alone to be heard and understood. This grant will have a 60-month project period, with five 12-month budget periods.</t>
  </si>
  <si>
    <t>NIJ FY25 Social Science Research and Evaluation on Forensic Science Systems</t>
  </si>
  <si>
    <t>Special district governments Other Units of Local Government</t>
  </si>
  <si>
    <t>This funding opportunity seeks proposals for rigorous applied social science research and evaluative studies on the forensic science system. The field of forensic science is changing, particularly as technological advancements improve the criminal justice systemâ€™s ability to use forensic evidence more effectively and efficiently. Research is needed to better understand the impact of forensic science on the criminal justice system. Please see the Eligible Applicants section for the eligibility criteria.
With this NOFO, NIJ requests applicants in two categories:
â€¢ Category 1: Social Science Research and Evaluation on the Forensic Science System
â€¢ Category 2: Evaluability Assessment of Crime Gun Intelligence (CGI) Resources</t>
  </si>
  <si>
    <t>OJJDP FY25 Multistate Mentoring Programs Initiative</t>
  </si>
  <si>
    <t>Others (see text field entitled "Additional Information on Eligibility" for clarification) Category 1: Mentoring Organizations (1 state); Category 2: Mentoring Organizations (2 to 10 states); Category 3: Mentoring Organizations (11 to 44 states)</t>
  </si>
  <si>
    <t>This funding opportunity seeks to support mentoring organizations to enhance and expand mentoring services for children and youth who are at risk or high risk for delinquency, victimization, and juvenile justice system involvement.</t>
  </si>
  <si>
    <t>NM FY25 IIJA/IRA Bureau of Land Management New Mexico Invasive and Noxious Plant Management</t>
  </si>
  <si>
    <t>Native American tribal governments (Federally recognized)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</si>
  <si>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BLM New Mexico Invasive and Noxious Plant Management Programs work to prevent, detect, inventory, control, and monitor weed populations on public lands.Invasive species cost the public millions of dollars in control and management each year and many invasive plants and noxious weeds are highly competitive and have the ability to permanently degrade our public lands.Noxious weeds and invasive species expansion are recognized as the single greatest threat to our native plant communities and the values they provide us.These native plant communities are essential for supporting wildlife habitat, watershed function, recreation opportunities, rural economies and working landscapes.Invasive plants and noxious weeds affect plant and animal communities on farms and ranches, and in parks, waters, forests, natural areas, and backyards in negative ways.Human activity such as trade, travel, and tourism have all increased substantially, escalating the speed and volume of species movement to unprecedented levels.Increased site vulnerability from wildfires that are more frequent and other disturbances is an ongoing challenge to maintaining the integrity of our native plant communities.Noxious weeds are particularly aggressive plants legally designated by states as being injurious to public health, the environment or the economy.Invasive species and noxious weeds adversely affect overall recreational opportunities on public land i.e., hunting, fishing, camping, hiking, watershed health and ecosystem function which result in economic losses in rural and urban communities.Affect adjacent private lands, both rural and urban, causing widespread economic losses to the agricultural industry as well as to other resources.</t>
  </si>
  <si>
    <t>FY 2025 Pipeline One-Call Grant</t>
  </si>
  <si>
    <t>DOT-PHMSA</t>
  </si>
  <si>
    <t>Pipeline and Hazardous Materials Safety Admin</t>
  </si>
  <si>
    <t>Others (see text field entitled "Additional Information on Eligibility" for clarification) This grant opportunity is only open to state agencies that are authorized to conduct pipeline safety inspections per a 49 U.S.C.   60105 certification and/or a 49 U.S.C.   60106 agreement with PHMSA.</t>
  </si>
  <si>
    <t>PHMSA seeks to provide funding to states to reduce damage to underground pipelines. Excavation damage is a leading cause of pipeline incidents in the United States. Since 2008, PHMSA has awarded more than $23.5 million in SDP grants to more than 40 state-designated entities to assist with pipeline damage prevention enforcement, outreach, and education.</t>
  </si>
  <si>
    <t>FY 2025 State Damage Prevention</t>
  </si>
  <si>
    <t>Others (see text field entitled "Additional Information on Eligibility" for clarification) Eligible Applicants (Varies by Program)	Any state authority (or municipality with respect to intrastate gas transportation) that is or will be responsible for preventing damage to underground pipeline facilities is eligible as long as 1) the state participates in the oversight of pipeline transportation pursuant to an annual 49 U.S.C.  60105 certification or 49 U.S.C.  60106 agreement in effect with the Pipeline and Hazardous Materials Safety Administration, and 2) is designated by the state's governor, in writing, as the eligible recipient of the grant funding.</t>
  </si>
  <si>
    <t>NM FY25 IIJA/IRA Bureau of Land Management New Mexico Fuels Management and Community Fire Assistance</t>
  </si>
  <si>
    <t>BLM New Mexico has an opportunity to work with partner organizations to assist with fuels management and community fire assistance program activities to reduce the risk and impact of catastrophic wildfires to local communities through coordination, reducing the amount of hazardous fuels, and furthering the education of landowners about wildfire prevention and mitigation. These activities will assist BLM in addressing the effects of climate change by working to create resilient landscapes and communities, will create jobs, and it will help further conservation and restoration efforts by providing an opportunity to support planning and implementation of hazardous fuels reduction projects in wildland urban interface (WUI) areas and education and outreach programs that help create fire adapted communities and resilient landscapes. This program supports the Infrastructure Investment and Jobs Act (IIJA) Public Law 117-58, Sec. 40803 Wildfire Risk Reduction. This program supports projects funded through the Inflation Reduction Act (IRA), Sections 50221 Resilience, 50222 Ecosystems Restoration and 50303 DOI. New Mexico Program Strategic Goals: Accomplish fuels management activities on federal and non-federal land. Develop and implement fire education, training, and/or community action plans/programs. Conduct Community Wildfire Protection Plans (CWPPs), community wildfire assessments, and planning activities. Expand community capability to enhance local employment opportunities. Develop and implement short and long-term monitoring and maintenance plans for hazardous fuels reduction, community fire education and training, and community action programs.</t>
  </si>
  <si>
    <t>FY25 IIJA/IRA Bureau of Land Management California Aquatic Resource Management</t>
  </si>
  <si>
    <t>Nonprofits that do not have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</si>
  <si>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Managementâ€™s (BLM) California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California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California Aquatic Resources Program continues to advance the Department of the Interior's priorities to address the climate crisis, restore balance on public lands and waters, advance environmental justice, and invest in a clean energy future. The BLM California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t>
  </si>
  <si>
    <t>Innovation Lab Technical Feedback RFI</t>
  </si>
  <si>
    <t xml:space="preserve">The United States Agency for International Development (USAID) Bureau for Resilience, Environment and Food Security (REFS) Center for Agriculture-Led Growth is seeking feedback for a planned set of research activities to: 1) improve the genetics and management of perennial crops, including trees, shrubs, and herbaceous perennials, important to food security; 2) improve the genetics and management of climate resilient and nutritious vegetable crops; and 3) integrate efficient and effective water, land, and soil management. As USAID looks to the future of investments in research for development efforts, input from implementing partners,local organizations, researchers, NGOs, and other interested stakeholders provides an opportunity for more coordinated, demand-driven, and effective research.If you have any issues accessing the RFI, please contact Kyle Davis at kydavis@usaid.gov. Responses should be submitted to USAID via email at ftfresearch@usaid.gov no later than Wednesday, January 22, 2025 at 12:00 PM EST. </t>
  </si>
  <si>
    <t>Distance Learning and Telemedicine Grants</t>
  </si>
  <si>
    <t xml:space="preserve">County governments </t>
  </si>
  <si>
    <t>Authorized by 7 U.S.C. 950aaa, the DLT Program provides financial assistance to enable and improve distance learning and telemedicine services in rural areas. DLT grant funds support the use of telecommunications-enabled information, audio and video equipment, and related advanced technologies by students, teachers, medical professionals, and rural residents. These grants are intended to increase rural access to education, training, and health care resources that are otherwise unavailable or limited in scope.The regulation for the DLT Program can be found at 7 CFR part 1734. All applicants should carefully review and prepare their applications according to instructions in the FY 2025 DLT Grant Program Application Guide (Application Guide) and program resources. This Application Guide will be made available here and on the program website at https://www.rd.usda.gov/programs-services/distance-learning-telemedicine-grants. Expenses incurred in developing applications will be at the applicantâ€™s own risk.</t>
  </si>
  <si>
    <t>Building a Community of Practice for Women in Strategic Trade</t>
  </si>
  <si>
    <t>Others (see text field entitled "Additional Information on Eligibility" for clarification) Domestic Non-federal entities (including state, local government, Indian tribe, institutions of higher education (IHE), or nonprofit organization), Foreign Non-Profit Organizations, Domestic   Foreign For-Profit Organizations (must waive fee/profit), and Foreign Public Entities (including Foreign Public International Organizations).</t>
  </si>
  <si>
    <t>To create a professional network and community of practice to advance women working in strategic trade through sustained mentorship.  Experienced international strategic trade experts and practitioners will guide early- or mid-career women in the strategic trade field through a sustained six-month mentorship.</t>
  </si>
  <si>
    <t>Establish a Legal/Regulatory Framework for Strategic Trade Controls in Vietnam</t>
  </si>
  <si>
    <t>To strengthen partner countriesâ€™ capabilities to comply with international strategic trade control (STC) norms and enforcement best practices.  ISN/ECC seeks to ensure countries have the necessary strategic trade control authorities to regulate transfers of technologies that could be used for weapons of mass destruction (WMD), related delivery systems, or advanced conventional weapons.</t>
  </si>
  <si>
    <t>Women in CHIPS Initiative</t>
  </si>
  <si>
    <t>To create a professional network and community of practice to advance women working in strategic trade, specifically in the semiconductor industry, through sustained mentorship, technical training and focused workshops, and a study tour. The Women in CHIPS concept seeks to increase representation of women in the public and private sectors of the semiconductor industry.  This will expand upon ECCâ€™s Women in Strategic Trade Initiative (WiST), which aims to increase representation of women in leadership positions, key functional areas, scientific and technical (STEM) fields, and other key stakeholder arenas.</t>
  </si>
  <si>
    <t>Moldovan Institutions Capacity Development on Sanctions Enforcement</t>
  </si>
  <si>
    <t>To strengthen compliance with international strategic trade control norms and U.N. sanctions resolutions, EXBS also conducts outreach to the private sector to help industry better understand its nonproliferation obligations.</t>
  </si>
  <si>
    <t>Diversion Risk Mitigation Workshop in Turkiye</t>
  </si>
  <si>
    <t>To strengthen regional risk-analysis and targeting mechanisms to identify and prevent transshipments of potential sanctions evasion/proliferation concerns.</t>
  </si>
  <si>
    <t>Albania Sanction Platform Development</t>
  </si>
  <si>
    <t>To support the Government of Albania in creating a comprehensive sanction platform.  The implementation and enforcement of sanctions are essential tools in upholding international security and promoting peace.</t>
  </si>
  <si>
    <t>Establish a Legal Framework for Strategic Trade Controls in Vietnam</t>
  </si>
  <si>
    <t>International Border Guard Training for Iraq and Jordan (2025-2027)</t>
  </si>
  <si>
    <t>The Bureau of International Security and Nonproliferation, Office of Export Control Cooperation (ISN/ECC) seeks to partner with and assist the Governments of Jordan and Iraq to secure their land borders.</t>
  </si>
  <si>
    <t>Bat Surveys for Fort Carson and Pinon Canyon Maneuver Site in Colorado</t>
  </si>
  <si>
    <t>Unrestricted (i.e., open to any type of entity above), subject to any clarification in text field entitled "Additional Information on Eligibility" This funding opportunity is ONLY available for Cooperative Ecosystem Study Units under the Colorado Plateau / Desert Southwest CESU Units.  In accordance with the 16 USC 670c-1, Sikes Act, projects for the implementation and enforcement of integrated natural resources management plans,  priority shall be given to Federal and State agencies having responsibility for the conservation or management of fish or wildlife.</t>
  </si>
  <si>
    <t>Project Title: Bat Surveys for Fort Carson and Pinon Canyon Maneuver Site in ColoradoA cooperative agreement is being offered ONLY to members of the Cooperative Ecosystem Studies Units (CESU) Program Region(s) of Colorado Plateau   Desert Southwest . Award will be made upon mutual agreement and acceptance of the terms and conditions contained inthe request for proposal and the of the recipientâ€™s CESU Master Agreement.  Note the established CESU Program indirect rate is 17.5%.Responses to this Request for Statements of Interest will be used to identify potential organizations for this project. Approximately $192,000 is expected to be available to support this project for the base period. Additional funding may be available to thesuccessful recipient for optional tasks and/or follow on work in subsequent years. NOTE: This project will be awarded under the authority of 16 USC 670c-1, Sikes Act. For projects for the implementation and enforcement of integrated natural resources management plans, priority shall be given to award to Federal and Stateagencies having responsibility for the conservation or management of fish or wildlife.   Period of Performance. The Base and Follow-On Periods will each be 18 months from the date of award. Follow-on Periods are subject to availability of funding. Description of Anticipated Work: See attached Statement of Objectives NOTE: At this time we are only requesting that you demonstrate available qualifications and capabaility for performing similar or same type of work by submitting a Statement of Interest. A full proposal and budget are NOT requested at this time. Submission of Your Statement of Interest1. Statements of Interest are due by 2:00 P.M., Central Time, on 03 FEB 2025.2. Submit your Statement of Interest via e-mail attachments or direct questions to:Sandy Justman, Grants SpecialistUSACE, Fort Worth DistrictEmail: cheryl.r.vendemia@usace.army.milOffice: 817-886-1073andBrian Hesford, Project ManagerUSACE, Fort Worth DistrictEmail: brian.d.hesford@usace.army.milOffice: 402-200-8268Review of Statements Received: All statements of interest received from a member of the CESU Region(s) identified above will be evaluated by a board comprised of one or more people at the receiving installation or activity, who will determine whichstatement(s) best meet the program objectives: offer the most highly qualified Principal Investigator, have the most relevant experience and the highest capability to successfully meet the program objectives. Submitters whose statements aredetermined to best meet the program objectives will be invited to submit a full proposal.Please see full RSOI Package on the Documents Tab</t>
  </si>
  <si>
    <t>Strengthening Vaccine-Preventable Disease Prevention and Response</t>
  </si>
  <si>
    <t>HHS-CDC-NCIRD</t>
  </si>
  <si>
    <t>Centers for Disease Control - NCIRD</t>
  </si>
  <si>
    <t>County governments Applicants must meet certain population thresholds as described here. This strategy allows ISD to reach the greatest number of people while balancing the need for direct support to some of the largest cities in the United States. Eligible applicants include:  The 51 state health departments or their bona fide agents, including the District of Columbia.   Local health agencies or their bona fide agents, if they serve a city population* of 1.4 million or more (i.e., Chicago, Houston, New York City, Philadelphia, San Antonio).   If the city does not have a public health department, then the county covering the jurisdiction may apply (i.e., Los Angeles, CA covered by Los Angeles County and Phoenix, AZ covered by Maricopa County).   All U.S. territories and the Freely Associated States in the Caribbean and Pacific (American Samoa, Commonwealth of the Northern Mariana Islands, Guam, Puerto Rico, the U.S. Virgin Islands, the Freely Associated States of the Federated States of Micronesia, Republic of Palau, and Republic of the Marshall Islands). Note: The Freely Associated States do not participate in the Vaccines for Children Program.*Population for city jurisdictions. Source: U.S. Census Bureau, 2022 American Community Survey 5-Year Data (2018 - 2022) - Table S0101.</t>
  </si>
  <si>
    <t>CDCâ€™s Immunization Services Division (ISD) Notice of Funding Opportunity (NOFO) continues and builds upon the ongoing work of the Section 317 and Vaccines for Children (VFC) Programs. These programs remain central to the U.S. immunization program infrastructure to achieve high vaccination coverage, low incidence of vaccine-preventable disease (VPD) and maintain or improve response to vaccine-preventable public health threats. The VFC Program provides vaccines to children whose parents or guardians may not be able to afford them. Serving as an important contributor to health equity, the program helps support fair and just opportunities for all children to get their recommended vaccinations on schedule and achieve their highest level of health. Section 317 of the Public Health Service Act helps meet the costs of prevention health services, and 317 priorities include preserving immunization infrastructure, maintaining vaccine supply as a safety net for uninsured adults, and responding to VPD outbreaks. Activities in this funding opportunity are included within the following seven priority strategies. â€¢ Strengthen Program Infrastructure and Management. â€¢ Increase Vaccine Access. â€¢ Improve Vaccination Equity. â€¢ Promote Vaccine Confidence and Demand. â€¢ Enhance Data and Evaluation.There are three components in this NOFO, and you are required to apply to all three components. â€¢ Component 1: Core. â€¢ Component 2: Rapid small-scale response to VPD outbreaks or other public health emergencies (funded). â€¢ Component 3: Rapid large-scale response to VPD outbreaks or other public health emergencies (approved but unfunded).</t>
  </si>
  <si>
    <t>Fire Management Technical Expertise for Air Force Wildland Fire Branch (AFWFB)</t>
  </si>
  <si>
    <t>Unrestricted (i.e., open to any type of entity above), subject to any clarification in text field entitled "Additional Information on Eligibility" This funding opportunity is ONLY available for Cooperative Ecosystem Study Units under the Colorado Plateau / Great Plains / Gulf Coast CESU Units. _x000D_
In accordance with the 16 USC 670c-1, Sikes Act, projects for the implementation and enforcement of integrated natural resources management plans,  priority shall be given to Federal and State agencies having responsibility for the conservation or management of fish or wildlife.</t>
  </si>
  <si>
    <t>This funding opportunity is ONLY available for Cooperative Ecosystem Study Units under the Colorado Plateau / Great Plains / Gulf Coast CESU Units. Project Title: Fire Management Technical Expertise for Air Force Wildland Fire Branch (AFWFB).A cooperative agreement is being offered ONLY to members of the Cooperative Ecosystem Studies Units (CESU) Program Region(s) identified above. Award will be made upon mutual agreement and acceptance of the terms and conditions contained in the request for proposal and the CESU Master Agreement. Note the established CESU Program indirect rate is 17.5%.Responses to this Request for Statements of Interest will be used to identify potential organizations for this project. Approximately $1,111,500.00 is expected to be available to support this project for the base period. Additional funding may be available to the successful recipient for optional tasks and/or follow on work in subsequent years.NOTE: This project will be awarded under the authority of 16 USC 670c-1, Sikes Act. For projects for the implementation and enforcement of integrated natural resources management plans, priority shall be given to award to Federal and State agencies having responsibility for the conservation or management of fish or wildlife.Period of Performance. The base period of agreement will extend 18-months from date of award to allow for 12-months of technical support. There may be up to four 15-month follow-on periods based on availability of funding.Description of Anticipated Work: See attached Statement of Objectives (SOO)NOTE: At this time we are only requesting that you demonstrate available qualifications and capabaility for performing similar or same type of work by submitting a Statement of Interest. A full proposal and budget are NOT requested at this time.Submission of Your Statement of Interest1. Statements of Interest (SOIs) are due by 2:00 P.M., Central Time, on 03 FEB 2025.2. Submit your SOI via e-mail with attachments or direct questions to:Sandy JustmanGrants SpecialistUSACE, Fort Worth DistrictEmail: sandra.justman@usace.army.milOffice: 817-886-11073David LeptienProject ManagerUSACE, Fort Worth DistrictEmail: david.b.leptien@usace.army.milOffice: 402-889-5570Review of Statements Received: All statements of interest received from a member of the CESU Region(s) identified above will be evaluated by a board comprised of one or more people at the receiving installation or activity, who will determine which statement(s) best meet the program objectives: offer the most highly qualified Principal Investigator, have the most relevant experience and the highest capability to successfully meet the program objectives. Submitters whose statements are determined to best meet the program objectives will be invited to submit a full proposal.For Full RSOI Package see Related Documents Tab</t>
  </si>
  <si>
    <t>Emerging Health Innovators (EHI) Initiative</t>
  </si>
  <si>
    <t>HHS-ARPAH</t>
  </si>
  <si>
    <t>Advanced Research Projects Agency for Health</t>
  </si>
  <si>
    <t xml:space="preserve">For profit organizations other than small businesses </t>
  </si>
  <si>
    <t>The Advanced Research Projects Agency for Health (ARPA-H) is posting this Innovative Solutions Opening (ISO) in support of the Emerging Health Innovators (EHI) Initiative. ARPA-H anticipates that multiple awards and award types will result from this announcement.Interested parties are invited to review the attached EHI Innovative Solutions Opening (ISO) ARPA-H-SOL-25-118 and associated Attachments.</t>
  </si>
  <si>
    <t>DRL FY24 Global Equality Fund Programs</t>
  </si>
  <si>
    <t>Others (see text field entitled "Additional Information on Eligibility" for clarification) The following organizations are eligible to apply:
 	Foreign-based non-profit organizations/nongovernment organizations (NGO);
 	U.S.-based non-profit organizations/NGOs with or without 501(c)(3) status;
 	Public International Organizations;
 	Private, public, or state institutions of higher education;
 	For-profit organizations or businesses.</t>
  </si>
  <si>
    <t>DRL announces an open competition for organizations interested in submitting applications for programs that provide LGBTQI+ individuals and communities with the tools to prevent, mitigate and recover from violence and restrictions on human rights and fundamental freedoms, eliminate laws which criminalize LGBTQI+ status and/or conduct, and in other ways advance protection of human rights in alignment with the strategic framework of the Global Equality Fund.</t>
  </si>
  <si>
    <t>FY 2025 TAG Awards</t>
  </si>
  <si>
    <t>Native American tribal governments (Federally recognized) Applicants for the TAG must be local communities or groups of individuals (not including for-profit entities) related to the safety and associated environmental mitigation of pipeline facilitiesin local communities, other than facilities regulated under Public Law 93-153 (43 U.S.C.   1651 et seq.). Eligible applicants include cities, towns, villages, counties, Indian Tribes, parishes, townships, and similar governmental subdivisions, or consortiums of such subdivisions, and groups of individuals; but does not include for-profit entities. States, universities, and for-profit entities are not eligible for TAG funding.</t>
  </si>
  <si>
    <t>Pipeline safety and associated environmental protection are a shared responsibility andinformed communities play a vital role in the safety and reliability of pipeline operations. ThePipeline Safety Information Grants to Communities: Technical Assistance Grants (TAG)program (Assistance Listing 20.710) provides funding to local communities and groups ofindividuals for technical assistance related to pipeline safety. The program also providesopportunities that strengthen the depth and quality of public participation in the safe operationof pipelines in and around communities. Technical assistance is defined as engineering orother scientific analysis of pipeline safety issues.</t>
  </si>
  <si>
    <t>NIJ FY25 Research on the Abuse, Neglect, and Financial Exploitation of Older Adults</t>
  </si>
  <si>
    <t>This funding opportunity seeks to fund applications for rigorous research and evaluation projects in four topical areas: (1) evaluation of programs that seek to prevent, intervene in, or respond to the abuse, neglect, and financial exploitation of older adults; (2) research on financial fraud against older adults, including knowledge building around scam prevention messaging; (3) research on formal and informal caregivers who abuse (either financially, physically, sexually, and/or emotionally) or neglect older adults, to inform intervention and prevention program development; and (4) forensic research involving the development of radiographic evidence and bioinformatic approaches relevant to the physical abuse of older adults. This program furthers the DOJâ€™s mission to uphold the rule of law, to keep our country safe, and to protect civil rights. Please see the Eligible Applicants section for the eligibility criteria.</t>
  </si>
  <si>
    <t>NIJ FY25 Research and Evaluation on Corrections</t>
  </si>
  <si>
    <t>Public housing authorities/Indian housing authorities Other Units of Local Government</t>
  </si>
  <si>
    <t>This funding opportunity seeks rigorous proposals on: special populations in corrections, management and development of the correctional workforce, and the impact of correctional culture and climate on safety and wellness. Please see the Eligible Applicants section for the eligibility criteria.</t>
  </si>
  <si>
    <t>FAA Aviation Maintenance Technical Workers Workforce Development Grant Program</t>
  </si>
  <si>
    <t>DOT-FAA</t>
  </si>
  <si>
    <t xml:space="preserve">DOT Federal Aviation Administration </t>
  </si>
  <si>
    <t>Others (see text field entitled "Additional Information on Eligibility" for clarification) a.	A certified repair station that provides training defined in part 21, 121, 135, 145, or 147 of title 14, Code of Federal Regulations; b.	Labor organization representing aviation maintenance workers; c.	Accredited institution of higher education (20 U.S.C.   1001), a postsecondary vocational institution, or a high school or secondary school (20 U.S.C.   7801); d.	Aviation-related nonprofit organization described in section 501(c)(3) of the Internal Revenue Code of 1986 that is exempt from taxation under section 501(a) of such Code; or e.	A State, local, territorial, or Tribal governmental entity.</t>
  </si>
  <si>
    <t>IntroductionThe U.S. Department of Transportationâ€™s (USDOT) Federal Aviation Administration (FAA) is accepting applications for the fiscal year (FY) 2025 FAA Aviation Maintenance Technical Workers Workforce Development Grant Program (hereinafter referred to as â€œthe Programâ€) of which 20 percent of the total amount funded will be used to carry out the Willa Brown Aviation Education Program. The purpose of the program is to expand the Aviation Maintenance Technical Workers workforce and support activities to facilitate the transition to careers in aviation maintenance throughout the United States and U.S. territories.BackgroundThrough the award of these grants, the USDOT and the FAA will assist in expanding the U.S. aviation maintenance technical workers workforce. The Program aims to provide meaningful educational experiences to stimulate interest and encourage students throughout the nation to prepare to enter this career field. The Program also supports activities to facilitate the transition of individuals to careers in aviation maintenance, including members of the armed forces. By advancing equity across the federal government, we can create opportunities for the improvement of communities that have been historically underserved. Consistent with federal policy and the Authorizing Legislation, the Program will further benefit the public by advancing equity.Program GoalsThe Program is to provide grants for the education and recruitment of aviation maintenance technical workers and the development of the aviation maintenance workforce.Per the Authorizing Legislation, the USDOT secretary may exercise discretion to ensure that the award recipients selected will allow participation from a diverse collection of applicants in rural, suburban, and urban areas.Eligible ProjectsProjects that fall into one or more of the below categories will be eligible for award. An eligible project is a project to:a. Create and deliver a program or curriculum that provides high school and secondary school students and students of institutions of higher education with meaningful aviation maintenance education to become an aviation mechanic or aviation maintenance technician, including purchasing and operating equipment associated with such curriculum;b. Establish or improve registered apprenticeship, internship, or scholarship programs for individuals pursuing employment in the aviation maintenance industry;c. Support the transition to aviation maintenance careers, including for members and veterans of the armed forces;d. Support robust outreach about careers in the aviation maintenance industry, including outreach to populations that are underrepresented in the aviation industry; ore. Otherwise enhance or expand the aviation maintenance technical workforce.</t>
  </si>
  <si>
    <t>FAA Aircraft Pilots Workforce Development Grant Program</t>
  </si>
  <si>
    <t>Others (see text field entitled "Additional Information on Eligibility" for clarification) a.	Air carrier as defined in Section 40102 of Title 49, U.S. Code; b.	Entity that holds management specifications under Subpart K of Part 91 of Title 14, Code of Federal Regulations; c.	Accredited institution of higher education (20 U.S.C.   1001), a postsecondary vocational institution, or a high school or secondary school (20 U.S.C.   7801); d.	Flight school that provides flight training defined in Part 61 of Title 14, Code of Federal Regulations, or that holds a pilot school certificate under Part 141 of Title 14, Code of Federal Regulations; e.	Labor organization representing professional aircraft pilots; f.	Aviation-related nonprofit organization described in Section 501(c)(3) of the Internal Revenue Code of 1986 that is exempt from taxation under Section 501(a) of such code; or g.	State, local, territorial, or tribal governmental entity.</t>
  </si>
  <si>
    <t>IntroductionThe U.S. Department of Transportationâ€™s (USDOT) Federal Aviation Administration (FAA) is accepting applications for the fiscal year (FY) 2025 FAA Aircraft Pilots Workforce Development Grant Program (hereinafter referred to as â€œthe Programâ€) of which 20 percent of the total amount funded will be used to carry out the Willa Brown Aviation Education Program. The purpose of the Program is to attract future aircraft pilots or unmanned aircraft systems operators to the aviation industry throughout the United States and U.S. territories. BackgroundThrough the award of these grants, the USDOT and the FAA will assist in expanding the U.S. aircraft pilot workforce. The Program aims to provide meaningful educational experiences to stimulate interest and encourage participants throughout the nation to prepare to enter this career field. The Program also supports activities to facilitate the transition of individuals to careers as aircraft pilots, including members of the armed forces. By advancing equity across the federal government, we can create opportunities for the improvement of communities that have been historically underserved. Consistent with federal policy and the Authorizing Legislation, the Program will further benefit the public by advancing equity.Program GoalsThe Program is to provide grants for eligible projects to support the education and recruitment of future aircraft pilots and the development of the aircraft pilot workforce.Per the Authorizing Legislation, the USDOT Secretary may exercise discretion to ensure that the award recipients selected will allow participation from a diverse collection of applicants in rural, suburban, and urban areas.Projects that fall into one or more of the below categories will be eligible for award. An eligible project is a project to:a. Create and deliver a program or curriculum that provides high school or secondary school students and students of institutions of higher education with meaningful aviation education to become aircraft pilots or unmanned aircraft systems operators, including purchasing and operating a computer-based simulator associated with such curriculum;b. Establish or improve scholarship, internship, or registered apprenticeship programs for individuals pursuing employment as a professional aircraft pilot or unmanned aircraft systems operator;c. Create and deliver curricula that provide certified flight instructors with the necessary instructional, leadership, and communication skills to better educate student pilots;d. Support the transition to professional aircraft pilot or unmanned systems operator careers, including for members and veterans of the armed forces;e. Support robust outreach about careers in commercial aviation as a professional aircraft pilot or unmanned system operator, including outreach to populations that are underrepresented in the aviation industry; orf. Otherwise enhance or expand the aircraft pilot or unmanned aircraft system operator workforce.</t>
  </si>
  <si>
    <t>USAID/West Bank and Gaza: People-to-People Partnership for Peace Fund Grants Activity</t>
  </si>
  <si>
    <t>USAID-WES</t>
  </si>
  <si>
    <t>West Bank, Gaza USAID-West Bank</t>
  </si>
  <si>
    <t>Others (see text field entitled "Additional Information on Eligibility" for clarification) Qualified U.S. or non-U.S. organizations, non-profit, or for-profit entities may apply for funding under this APS. To be eligible, all entities must be legally registered entities under applicable law and eligible under the relevant laws to receive funding from USAID. Individuals, unregistered, or informal organizations are not considered eligible applicants.</t>
  </si>
  <si>
    <t xml:space="preserve">Congress enacted the Nita M. Lowey Middle East Partnership for Peace Act (MEPPA) in December 2020 to advance peaceful co-existence between Israelis and Palestinians and enable a sustainable two-state solution. MEPPA establishes two funds and authorizes up to $250 million over five years for programs to be implemented through the United States Agency for International Development (USAID) and the U.S. International Development Finance Corporation (DFC). 
This APS seeks to engage people directly affected by the ongoing Israeli-Palestinian conflict and invites applicants to approach peacebuilding with a greater focus on reconciliation, advocacy, dialogue among groups with diverse views, and healing.
Goal:
The overall goal of MEPPA is to build the foundation for peaceful co-existence between Israelis and Palestinians and enable a sustainable two-state solution. Working toward that vision, this funding opportunity seeks to strengthen people-to-people grassroots linkages to address common challenges and enhance peacebuilding momentum to affect institutional and policy change. 
ï»¿Objectives:
This funding opportunity for the MEPPA People-to-People Partnership for Peace Fund Grants Activity aims to achieve the following objectives: 
 Increase partnership between Palestinians and Israelis, and Arab and Jewish Israelis, to address issues of common interest or concern.
 Bolster efforts by Palestinians and Israelis to address internal divisions that must be overcome to foster peaceful coexistence.
 Improve the enabling environment for cross-border partnership, particularly in development sectors, such that policies, procedures, and structures allow Palestinians and Israelis to engage in meaningful interactions across sectors without any barriers and fear of intimidation. 
 Strengthen the resilience of peacebuilding constituencies and institutions. 
</t>
  </si>
  <si>
    <t>Cybersecurity Innovation for Cyberinfrastructure</t>
  </si>
  <si>
    <t>The objective of the Cybersecurity Innovation for Cyberinfrastructure (CICI) program is to advance scientific discovery and innovation by enhancing the security and privacy of cyberinfrastructure. CICI supports efforts to develop, deploy and integrate cybersecurity that will benefit the broader scientific community by securing science data, computation, collaborations workflows, and infrastructure. CICI recognizes the unique nature of modern, complex, data-driven, distributed, rapid, and collaborative science and the breadth of infrastructure and requirements across scientific disciplines, practitioners, researchers, and projects. CICI seeks proposals in four program areas:
1. Usable and Collaborative Security for Science (UCSS): Projects in this program area should support novel and/or applied security and usability research that facilitates scientific collaboration, encourages the adoption of security into the scientific workflow, and helps create a holistic, integrated security environment that spans the entire scientific cyberinfrastructure ecosystem.
2. Reference Scientific Security Datasets (RSSD): Projects in this program area should leverage instrumented cyberinfrastructure to capture metadata from scientific workflows and workloads as reference data artifacts that can help support reproducible security research, testing and evaluation.
3. Transition to Cyberinfrastructure Resilience (TCR): Projects in this program area should improve the robustness, trustworthiness, integrity, and/or resilience of scientific cyberinfrastructure through testing, evaluation, hardening, validation, and technology transition of novel cybersecurity research. The TCR area further encourages transition activities that advance the deployment and use of reproducibility in CI, workflows, and data.
4. Integrity, Provenance, and Authenticity for Artificial Intelligence Ready Data (IPAAI): Projects in this program area should enhance confidence and reproducibility in AI produced scientific results by improving the integrity, provenance, and authenticity of scientific datasets used by Artificial Intelligence systems.</t>
  </si>
  <si>
    <t>FY2025 ABPP - Preservation Planning Grants</t>
  </si>
  <si>
    <t>Private institutions of higher education 1) Alaska Native corporations2) Native American tribal-controlled colleges and universities3) Native Hawaiian Community institutions and Native Hawaiian organizationsEligible Sites Eligible project proposals must contribute to the preservation of one or more historic places associated with an armed conflict on American soil. NPS ABPP defines  American soil  as authorized under 54 U.S.C.   300317, as the 50 States, District of Columbia, U.S. Territories (Puerto Rico, Guam, American Samoa, the Virgin Islands, and the Northern Mariana Islands), and Freely Associated States (Republic of the Marshall Islands, the Federated States of Micronesia, and the Republic of Palau), and  armed conflicts  as periods of collective violence that are characterized by specific events and bounded in time (example: the Battle of Harlem Heights or the Sand Creek massacre), rather than broad cross-cutting themes throughout American history. Historic places associated with armed conflicts may include battlefields or associated sites that fall under one of the following themes:Military - sites directly associated with military forces on land or sea.Government, Law, Politics, and Diplomacy - sites associated with decision-making, policy creation, political process, and diplomatic relations during periods of armed conflict.Intellectual History - sites associated with the publication or propagation of ideas and values that influenced the social, political, economic, and military actions and policies during periods of armed conflictEconomics of War - sites associated with economic activities that contributed to battle, fighting, or war effortsSociety - sites associated with home front, civilian conduct during periods of armed conflictTransportation - Sites associated with moving people, goods, and information during periods of armed conflictEligible Activities Preservation Planning Grants may not be used for the acquisition of property or services to the direct benefit of the Federal government but may under some circumstances include sites controlled by the Federal government in research and other non-mission oriented (legislated) projects. Applicants working in partnership with units of the Federal government, or including sites under the control of the Federal government in their project proposals,</t>
  </si>
  <si>
    <t>Administered by the National Park Service through the American Battlefield Protection Program (NPS ABPP), Preservation Planning Grants support a variety of projects that contribute to the preservation and interpretation of historic battlefields and associated sites of armed conflict on American soil by providing financial assistance to eligible applicants based on the outcome of a competitive merit review process. These grants are funded by direct appropriation from the U.S. Congress and are authorized under 54 U.S.C. Â§ 308102.Due to the large number of activities that the Preservation Planning Grants may fund, applicants are encouraged to reach out to NPS ABPP directly with any questions about potential project eligibility at abpp_ppg@nps.gov.</t>
  </si>
  <si>
    <t>NIJ FY25 Research and Evaluation of Policing Practices</t>
  </si>
  <si>
    <t>State governments Other Units of Local Government</t>
  </si>
  <si>
    <t>This funding opportunity seeks rigorous, applied evaluative research on: (1) police conduct and police-community interactions; (2) officer safety, health, and wellness; (3) criminal investigations; and (4) alternative traffic enforcement models. NIJ also welcomes investigator-initiated proposals in other policing topics. Please see the Eligible Applicants section for the eligibility criteria.</t>
  </si>
  <si>
    <t>NUCLEAR SCIENCE AND ENGINEERING CONSORTIUM  FOR NONPROLIFERATION</t>
  </si>
  <si>
    <t>DOE-NNSA</t>
  </si>
  <si>
    <t>NNSA</t>
  </si>
  <si>
    <t>Private institutions of higher education The following types of Higher Education Institutions are always encouraged to apply for NNSA support as Public or Private Institutions of Higher Education: Hispanic-serving Institutions; Historically Black Colleges and Universities (HBCUs); Tribally Controlled Colleges and Universities (TCCUs); Alaska Native and Native Hawaiian Serving Institutions</t>
  </si>
  <si>
    <t>The U.S. Department of Energy, National Nuclear Security Administration (DOE/NNSA), Office of Defense Nuclear Nonproliferation Research and Development (DNN R D) drives innovative research that develops technologies and expertise to detect foreign nuclear proliferation activities and produces technologies for integration into operational systems by leveraging capabilities at the DOE National Laboratories, Plants, and Other Field Sites, as well as at universities and within private industry. DNN R D supports U.S. nuclear security objectives to reduce global nuclear security threats through the innovation of unilateral and multi-lateral technical capabilities to detect, identify, and characterize: 1) Foreign nuclear weapons development activities; 2) Illicit diversion of special nuclear materials; and 3) Nuclear explosions globally. Additionally, DNN R D sustains and develops foundational nonproliferation technical capabilities by providing targeted, long-term support for enabling infrastructure, science and technology, and an expert workforce.For DNN R D, the role of Institutions of Higher Education (as defined in Section III) is to innovate, develop, and prove some of the most challenging basic aspects of new technology and methods in coordination with the DOE National Laboratories, which can in turn fulfill their unique role to perform mission-specific research and development that improves on capabilities until they are either adopted by operational enterprises or transitioned into private industry for commercialization. Transparency and effectively linking the roles of these Institutions of Higher Education (IHEs) and DOE National Laboratories represents the core of how DNN R D proposes to meet its objectives.The primary purpose of this opportunity is to direct-fund basic research at universities that complements applied research in nuclear nonproliferation at the DOE National Laboratories. This includes foundational disciplines of nuclear physics, science and engineering, radiation detection, nuclear material science, radiochemistry, and mass spectrometry. A secondary benefit to this research is the development of a diverse and highly talented cadre of technical professionals, including as scientists, engineers, technicians, and operational personnel, who become the next generation of technical leaders in nuclear missions, such as nonproliferation, arms control, incident response, intelligence, and energy. These professionals are expected to primarily benefit the DOE National Laboratories as future research staff but will also benefit academia, private industry, and U.S. government agencies, including Energy, State, Defense, Homeland Security, Justice, and the Intelligence Community.The intent of this NOFO is to award one (1) five-year cooperative agreement to a consortium consisting of accredited IHEs to provide the opportunity to receive and administer Federal financial assistance funds for student and faculty research, fellowships, and scholarship funding awarded by DOE/NNSA, DNN R D. The envisioned cooperative agreement will be awarded to a consortium of IHEs which will include the participation of DOE National Laboratories as consortium-member(s). Individual IHEs consortium-member shall make specific contributions and shall receive specified portions of the funding. The consortium may include student and research fellows and must have a long-term objective of building expertise in scientific disciplines directly relevant to nuclear nonproliferation.</t>
  </si>
  <si>
    <t>FY2025 NAGPRA Consultation/Documentation Grants</t>
  </si>
  <si>
    <t>Others (see text field entitled "Additional Information on Eligibility" for clarification) The following entities are eligible to apply for a NAGPRA Consultation/Documentation grant:An Indian Tribe or Native Hawaiian OrganizationIndian Tribe is defined at 43 CFR 10.2. The Bureau of Indian Affairs  list of Federally recognized tribes is available at www.bia.gov. Native Hawaiian organization (NHO) is defined at 43 CFR 10.2.A Museum within the United States.Museum and United States are defined at 43 CFR 10.2. A museum is eligible to apply for a grant only if it has complied with the requirements of NAGPRA (25 U.S.C. 3001-3013) and the implementing regulations (43 CFR part 10) at the time it applies for the grant. Federal agencies and the Smithsonian Institution may not apply for grants.Any applicant who previously received a NAGPRA grant but did not meet the conditions of the grant agreement, including reports or statement of work, may be penalized in the review process.Excluded Parties: NPS conducts a review of the SAM.gov Exclusions database for all applicant entities and their key project personnel prior to award. The NPS cannot award funds to entities or their key project personnel identified in the SAM.gov Exclusions database as ineligible, prohibited/restricted, or otherwise excluded from receiving Federal contracts, certain subcontracts, and certain Federal assistance and benefits, as their ineligibility condition applies to this Federal program.</t>
  </si>
  <si>
    <t>The Native American Graves Protection and Repatriation Act of 1990 authorizes the Secretary of the Interior to make grants to museums, Indian Tribes, and Native Hawaiian organizations for the purposes of assisting in consultation, documentation, and repatriation of Native American human remains, funerary objects, sacred objects, and objects of cultural patrimony (25 U.S.C. 3008). NAGPRA Consultation and Documentation grants assist museums, Indian Tribes, and NHOs to undertake projects leading to the repatriation of Native American human remains or cultural items. Project activities may include, but are not limited to:Â· Consultation,Â· Training and Conferences,Â· Coalitions and Partnerships,Â· Duty of Care, orÂ· Other projects. Grant funds must be used for CONSULTATION and/or DOCUMENTATION projects under NAGPRA. Consultation projects support efforts related to determinations of cultural affiliation and making or responding to requests for repatriation. Documentation projects support determining the geographical origin, cultural affiliation, and other basic facts surrounding the acquisition of Native American human remains or cultural items. Consultation and documentation projects should lead to determining control, treatment, and repatriation of NAGPRA human remains or cultural items.</t>
  </si>
  <si>
    <t>NIJ FY25 Research and Evaluation on Youth Justice Topics</t>
  </si>
  <si>
    <t>Others (see text field entitled "Additional Information on Eligibility" for clarification) Federal Agencies, and Other Units of Local Government</t>
  </si>
  <si>
    <t>This funding opportunity seeks proposals for research and evaluation projects to inform policy and practice in the field of youth justice in the following four topics:
1.	Research and Evaluation on Youth Justice System Prosecution
2.	Research and Evaluation on Youth Justice Defense Delivery Systems
3.	Evaluation of Youth Reentry Practices
4.	Resubmissions of Youth Justice Reinvestment Studies</t>
  </si>
  <si>
    <t>2025 Preservation Technology and Training Cooperative Agreements</t>
  </si>
  <si>
    <t>Native American tribal governments (Federally recognized) In accordance with 54 U.S.C.   305305(b) this funding opportunity is limited to cooperative agreements with Federal, State, local, and tribal governments, Native Hawaiian organizations, educational institutions, and other public entities to carry out the Center's responsibilities.</t>
  </si>
  <si>
    <t>The Cultural Resource Focused Preservation Technology and Training (PTT) cooperative agreements are administered by the National Center for Preservation Technology and Training (NCPTT), the National Park Serviceâ€™s innovation center for the preservation community. The 2025 PTT cooperative agreements are intended for cultural resource projects which will create better tools, better materials, and better approaches to conserving buildings, landscapes, and cultural resources. The cooperative agreements should be seen as pushing the cultural resource field of preservation forward and any application should be innovative in nature and on the cutting edge of preservation practice. The cooperative agreement scope should showcase a new model of preservation practice and be able to be disseminated to the broadest audience and impact national, regional, and/or local preservation organizations.In accordance with 54 U.S.C. Â§ 305305(b) this funding opportunity is limited to cooperative agreements with Federal, State, local, and tribal governments, Native Hawaiian organizations, educational institutions, and other public entities to carry out the Center's responsibilities.</t>
  </si>
  <si>
    <t>OVW Fiscal Year 2025 Research and Evaluation Initiative</t>
  </si>
  <si>
    <t>Native American tribal organizations (other than Federally recognized tribal governments) Eligible applicants are limited to: States and units of local government, Tribal governments, Tribal organizations, Nonprofits having a 501(c)(3) status with the IRS, Nonprofits that do not have a 501(c)(3) status with the IRS, Public and private institutions of higher education. For more information, see the Eligibility section of this NOFO.</t>
  </si>
  <si>
    <t>This NOFO invites applications under two separate initiatives, the Research and Evaluation Initiative and the Research and Evaluation Capacity-building Project. 
Research and Evaluation Initiative
The purpose of the Research and Evaluation (R&amp;E) Initiative is to study approaches to preventing and addressing domestic violence, dating violence, sexual assault, and stalking (also referred to in this NOFO as â€œgender-based violenceâ€). By generating more knowledge about strategies for serving victims and holding offenders accountable, communities that benefit from VAWA funding will be better equipped to align their work with practices that are known to be effective as well as build their own capacity to evaluate new and promising ways of doing their work. The initiative is designed to support researcher-practitioner partnerships and a broad range of research and evaluation methods, including qualitative, mixed-method, quasi-experimental, and experimental designs. Because OVW has limited funds to support research and evaluation, this initiative prioritizes topics for which a stronger evidence base would help OVW recipients use federal funds most effectively. Some publications from R&amp;E-funded projects are here: https://www.vawamei.org/report/studying-vawas-impact/.  
Special Initiative: Research and Evaluation Capacity-building Project
OVW anticipates funding a special initiative: the Research and Evaluation Capacity-building Project (Capacity-building Project). This project will enhance the gender-based violence fieldâ€™s ability to identify effective practices, recognize service gaps, and develop and use evidence to improve prevention efforts and responses to gender-based violence. The goal is to foster collaboration and knowledge sharing among practitioners and emerging scholars and develop their skills in evidence-informed decision-making. Practitioners will gain insights into approaches and tools to apply in their roles, while emerging scholars will gain first-hand field experience they can use for doing research in real-world contexts. One of the objectives of the Capacity-building Project is to facilitate lasting connections among people whose work addresses gender-based violence, which will include the implementation of strategies for building sustainable networks.</t>
  </si>
  <si>
    <t>Collaborations in Artificial Intelligence and Geosciences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</si>
  <si>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Other Federal Agencies and Federally Funded Research and Development Centers (FFRDCs): Prospective proposers from Other Federal Agencies and FFRDCs, including NSF sponsored FFRDCs, must follow the guidance in PAPPG Chapter I.E.2 regarding limitations on eligibility.</t>
  </si>
  <si>
    <t>The Collaborations in Artificial Intelligence and Geosciences (CAIG) program seeks to advance the development and adoption of innovative artificial intelligence (AI) methods to increase scientific understanding of the Earth system. The program supports projects that advance AI techniques and/or innovative uses of sophisticated or novel AI methods to enable significant breakthroughs in addressing geoscience research question(s) by building partnerships between experts in AI and Geosciences. The key characteristic of a CAIG project is its potential to both answer important geoscience questions and improve AI techniques while also bringing together experts from both the AI and geoscience fields.</t>
  </si>
  <si>
    <t>U.S. Consulate General, Lagos PD 2025 Annual Program Statement</t>
  </si>
  <si>
    <t>DOS-NGA</t>
  </si>
  <si>
    <t>U.S. Mission to Nigeria</t>
  </si>
  <si>
    <t>Others (see text field entitled "Additional Information on Eligibility" for clarification) The following registered U.S. and Nigerian organizations and individuals are eligible to apply:   _x000D_
 	U.S. and Nigerian registered not-for-profit organizations, including think tanks and civil society/non-governmental organizations _x000D_
 	Public and private educational and cultural institutions_x000D_
 	Governmental institutions_x000D_
_x000D_
For-profit or commercial entities are NOT eligible to apply</t>
  </si>
  <si>
    <t>Public Diplomacy Section of the U.S. Consulate General Lagos invites proposals for projects that strengthen the connections between the people of the United States and the people of Nigeria through projects highlighting our shared goals and values. All programs MUST include an American component, some examples include American expert engagement (in person or virtual), American cultural celebrations and icons, U.S. training curriculum, and use of American Spaces materials. Projects that incorporate strong American components into their design will be prioritized over other proposals. The U.S. Consulate General Lagos of the U.S. Department of State is pleased to announce that funding is available through its Public Diplomacy Small Grants Program. This is an Annual Program Statement, outlining our funding priorities, the strategic themes we focus on, and the procedures for submitting requests for funding. Please carefully follow all instructions.</t>
  </si>
  <si>
    <t>Individuals Exchange Alumni Honduras Community, Alumni Associations</t>
  </si>
  <si>
    <t>Rehabilitation Research and Training Center (RRTC) On Employment Among People Who are Blind or Have Low Vision</t>
  </si>
  <si>
    <t>Special district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</si>
  <si>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RRTCs is to achieve the goals of, and improve the effectiveness of, services authorized under the Rehabilitation Act through well-designed research, training, technical assistance, and dissemination activities in important topical areas as specified by NIDILRR.  The purpose of this particular RRTC is to conduct research, training, technical assistance, and related activities to contribute to positive employment outcomes among individuals who are blind or have low vision. NIDILRR plans to make one grant under this opportunity. The grant will have a 60-month project period, with five 12-month budget periods.</t>
  </si>
  <si>
    <t>Private institutions of higher education Grants are for projects that serve an eligible community; grants are not for the benefit of individuals or a single business. Individuals may apply on behalf of entities not yet incorporated but awards will not be made directly to individuals. Applicants must be located in the United States, a U.S. Territory or other area authorized by law to participate in programs of the Rural Utilities Service or under the Rural Electrification Act.</t>
  </si>
  <si>
    <t>Advancing Vision Health Equity through Multi-level Interventions and Community-Engaged Research (R01 - Clinical Trial Optional)</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</si>
  <si>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t>
  </si>
  <si>
    <t>The purpose of this initiative is to request applications that aim to implement and evaluate multi-level interventions and community engaged research in advancing vision equity.  This Notice of Funding Opportunity (NOFO) supports research directed at preventing, reducing, or eliminating disparities in eye and vision health.  Applications responding to this NOFO must involve multilevel interventions that simultaneously address vision health conditions and social determinants of health (SDOH) at one or more levels of influence, such as individual, interpersonal, organizational, and community.  Research must include a focus on improving vision health in one or more NIH-designated Populations with Health Disparities.  Additionally, research must demonstrate meaningful community engagement in the research process.</t>
  </si>
  <si>
    <t>Public and State controlled institutions of higher education U.S. Federal Government Entities, Foreign Public Entities/Public International Organizations</t>
  </si>
  <si>
    <t>Enhanced Surveillance and Control of Endemic and Emerging Arboviruses in Puerto Rico</t>
  </si>
  <si>
    <t>HHS-CDC-HHSCDCERA</t>
  </si>
  <si>
    <t>Centers for Disease Control and Prevention - ERA</t>
  </si>
  <si>
    <t>Others (see text field entitled "Additional Information on Eligibility" for clarification) Ponce Medical School Foundation Inc in Ponce Health Sciences University (PHSU) in Puerto Rico is the only eligible applicant.</t>
  </si>
  <si>
    <t>The purpose of this notice of funding opportunity (NOFO) is to strengthen an established research platform for arboviruses in hospital and community settings in Puerto Rico, identify emerging and endemic pathogens like dengue and Oropouche viruses, improve patient management, and evaluate prevention and control strategies. The core objectives include: 1) strengthen hospital surveillance of acute febrile illness (AFI) to ensure early detection of emerging arboviruses and other pathogens; 2) use the established AFI surveillance platform to conduct clinical research on dengue and other arboviral diseases, including among special populations such as women and children; 3) maintain and enhance the community cohort to assess incidence and prevalence of arboviral infections and other AFIs, while also evaluate the effectiveness of vector control strategies; 4) strengthen and modernize infrastructure for project data management and analysis, ensuring the surveillance platform is capable of handling large, complex datasets in real-time; and 5) strengthen collaborations with the local government, community leaders, and other interest holders to ensure the continuity of the established program while fostering an environment of rapid and effective communication and cooperation.</t>
  </si>
  <si>
    <t>Nonprofits that do not have a 501(c)(3) status with the IRS, other than institutions of higher education Foreign Public Entities/Public International Organizations</t>
  </si>
  <si>
    <t>Public and State controlled institutions of higher education Eligibility is limited to publishers who have published during or after calendar year 2010 a book whose research was supported by one of the NEH programs listed under Allowable Books. Publishers must be U.S. nonprofit organizations with 501(c)(3) tax-exempt status or accredited public or 501(c)(3) institutions of higher education.</t>
  </si>
  <si>
    <t>Others (see text field entitled "Additional Information on Eligibility" for clarification) The following organizations are eligible to apply: Applicants must be alumni of a U.S. government-funded or U.S. government-sponsored exchange program (https://alumni.state.gov/list-exchange-programs or https://j1visa.state.gov/); Projects teams must include at least two (2) alumni; Alumni who are U.S. citizens cannot submit proposals but may participate as team members; Alumni teams may be comprised of alumni from different exchange programs and different countries.</t>
  </si>
  <si>
    <t>Special district governments 1.  Eligible Applicants:  For Improving Gifted Education, partnerships involving at least one institution of higher education and at least two State educational agencies with the ability and capacity to conduct rigorous research are eligible to apply.  Partnerships may also include additional institutions of higher education, additional State educational agencies, local educational agencies, other public agencies, other private agencies and organizations, other research institutions, and non-profit and for-profit organizations.For Using Generative Artificial Intelligence to Improve Instruction in Postsecondary Education, entities that have the ability and capacity to conduct rigorous research are eligible to apply.       Eligible applicants include, but are not limited to, non-profit and for-profit organizations and public and private agencies and institutions, such as colleges and universities.</t>
  </si>
  <si>
    <t>Delta Health Systems Implementation Program</t>
  </si>
  <si>
    <t>Small businesses You can apply if your organization is located in a rural county or parish in the Delta region and is one of the below eligible organization types. The Delta region is the region served by the Delta Regional Authority, which includes 252 counties and parishes located across eight states - Alabama, Arkansas, Illinois, Kentucky, Louisiana, Mississippi, Missouri, and Tennessee. To view maps of the counties and parishes in each state that are in the Delta region, visit https://dra.gov/about-dra/map-room/. To determine if a county or parish in the Delta region is rural visit HRSAs Rural Health Grants Eligibility Analyzer at https://data.hrsa.gov/tools/rural-health. Types of eligible organizations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</si>
  <si>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 purpose of the Delta Health Systems Implementation Program (DSIP) is to improve healthcare delivery in rural areas by implementing projects that will improve the financial sustainability of rural healthcare organizations and allow for increased access to care in rural communities. These projects focus on financial and operational improvement, quality improvement, telehealth, and workforce development in rural healthcare organizations in the rural counties and parishes of the Delta region.
 The Delta region includes 252 counties and parishes located across eight states: Alabama, Arkansas, Illinois, Kentucky, Louisiana, Mississippi, Missouri, and Tennessee. To view maps of the counties and parishes in each state that are in the Delta region, visit the Delta Regional Authority Service Area Map. To determine if a county or parish in the Delta region is rural, visit Rural Health Grants Eligibility Analyzer .
 This program supports projects in rural healthcare organizations (as defined in Other Eligibility Criteria) in the Delta region that have received previous technical assistance (TA) through the Delta Region Community Health Systems Development Program (DRCHSD) or another similar TA program within the last five years. The DRCHSD Program provides intensive, multi-year TA to rural healthcare organizations located in the Delta region for free. DSIP is an extension of the DRCHSD Program and is designed to help rural healthcare organizations that previously received TA, from DRCHSD or another similar TA program, to implement projects based on the recommendations from their TA consultations.</t>
  </si>
  <si>
    <t>Rehabilitation Engineering Research Centers (RERC) Program: RERC on Universal Design Applications</t>
  </si>
  <si>
    <t>Native American tribal governments (Federally recognized)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</si>
  <si>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RERC program is to improve the effectiveness of services authorized under the Rehabilitation Act by conducting advanced engineering research on and development of innovative technologies that are designed to solve particular rehabilitation problems or to remove environmental barriers. RERCs also demonstrate and evaluate such technologies, facilitate service delivery system changes, stimulate the production and distribution of new technologies and equipment in the private sector, and provide training opportunities. Under this particular RERC priority, the grantee must conduct research and development activities toward universally designed products or built environments that promote positive health and function, employment, or community living outcomes among people with disabilities. This grant will have a 60-month project period, with five 12-month budget periods.</t>
  </si>
  <si>
    <t>Others (see text field entitled "Additional Information on Eligibility" for clarification) Please see full announcement.</t>
  </si>
  <si>
    <t>Rural Communities Opioid Response Program-Overdose Response</t>
  </si>
  <si>
    <t>City or township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</si>
  <si>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RCORP â€“ Overdose Response is to support improving health care in rural areas by addressing their immediate and short-term needs related to the provision of substance use disorder services. RCORP â€“ Overdose Response aims to reduce and prevent the risk of overdoses in rural areas.</t>
  </si>
  <si>
    <t>Addiction Medicine Fellowship Program</t>
  </si>
  <si>
    <t>Nonprofits having a 501(c)(3) status with the IRS, other than institutions of higher education You can apply if your organization is a U.S.-based sponsoring institution (or parent institution of the sponsoring institution) of an accredited addiction medicine or accredited addiction psychiatry fellowship program, or a consortium (consisting of at least one domestic teaching health center and the sponsoring institution) of a domestic addiction medicine or addiction psychiatry fellowship program. The sponsoring institution must be accredited by the Accreditation Council of Graduate Medical Education (ACGME). You must provide documentation of your ACGME accreditation in addiction medicine as Attachment 1. Types of eligible organizations If otherwise eligible, these types of domestic* organizations may apply. Public institutions of higher education Private institutions of higher education Nonprofits with or without a 501(c)(3) IRS status For-profit organizations Native American tribal governments Native American tribal organizations Individuals are not eligible applicants under this NOFO. Domestic means the 50 states, the District of Columbia, the Commonwealth of Puerto Rico, the Northern Mariana Islands, American Samoa, Guam, the U.S. Virgin Islands, the Federated States of Micronesia, the Republic of the Marshall Islands, and the Republic of Palau.</t>
  </si>
  <si>
    <t>The purpose of the AMF program is to expand the number of fellows at accredited addiction medicine and addiction psychiatry fellowship programs trained as addiction medicine specialists. These fellows will practice in medically underserved, community-based settings that integrate primary care with mental health disorder and substance use disorder (SUD) prevention and treatment services. The fellowship must include training in prevention and treatment services in medically underserved community-based settings, including in rural areas, that have limited or no access to SUD prevention or treatment. The AMF program trains both addiction medicine and addiction psychiatry fellows.</t>
  </si>
  <si>
    <t>National Women s Mental Health and Substance Use Technical Assistance Center</t>
  </si>
  <si>
    <t>HHS-SAMHS-SAMHSA</t>
  </si>
  <si>
    <t>Substance Abuse and Mental Health Services Adminis</t>
  </si>
  <si>
    <t>Others (see text field entitled "Additional Information on Eligibility" for clarification) Eligible applicants are State, local, tribal, and territorial governments, tribal organizations, nonprofit community-based entities, and primary care and behavioral health organizations to address community behavioral health needs worsened by the COVID-19 public health emergency.</t>
  </si>
  <si>
    <t>The purpose of this program is to enhance the capacity of healthcare providers serving women across the nation in the core health specialties of mental health (MH) and substance use (SU), obstetrics/gynecology (OB/GYN), pediatrics, emergency services, crisis services, and primary care to address the diverse needs of women with, or at risk for mental and substance use disorders (SUD), including those who were greatly impacted by COVID-19.</t>
  </si>
  <si>
    <t>Primary Care Training and Enhancement Residency Training in Street Medicine (PCTE-RTSM)</t>
  </si>
  <si>
    <t>Nonprofits having a 501(c)(3) status with the IRS, other than institutions of higher education You can apply if your organization is an accredited public or nonprofit private hospital, school of medicine or osteopathic medicine, or a public or private nonprofit entity which the Secretary has determined is capable of carrying out such grant or contract, which for this NOFO is an entity that operates an ACGME-accredited primary care residency training program. Types of eligible organizations If otherwise eligible, these types of domestic* organizations may apply. Public institutions of higher education. Private nonprofit institutions of higher education. Nonprofits with or without a 501(c)(3) IRS status. Individuals are not eligible applicants under this NOFO. Domestic means located in the 50 states, the District of Columbia, the Commonwealth of Puerto Rico, the Northern Mariana Islands, American Samoa, Guam, the U.S. Virgin Islands, the Federated States of Micronesia, the Republic of the Marshall Islands, and the Republic of Palau.</t>
  </si>
  <si>
    <t>The purpose of the Primary Care Training and Enhancementâ€”Residency Training in Street Medicine (PCTE-RTSM) Program is to enhance training in street medicine for residents enrolled in accredited primary care residency programs. Awardees may use funds to support enrolled Graduate Medical Education (GME) residents.</t>
  </si>
  <si>
    <t>State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</si>
  <si>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State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</si>
  <si>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Public and State controlled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</si>
  <si>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Special district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Units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</si>
  <si>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Nonprofits having a 501(c)(3) status with the IRS, other than institutions of higher education See funding opportunity for details.</t>
  </si>
  <si>
    <t>Nursing Workforce Diversity (NWD) Program</t>
  </si>
  <si>
    <t>Independent school districts These types of domestic* organizations may apply. Public institutions of higher education Private institutions of higher education Nonprofits having a 501(c)(3) IRS status Nonprofits with an IRS status other than 501(c)(3) State and local governments, including the District of Columbia, domestic territories, and freely associated states County governments City, local, or township governments Special district governments Independent school districts Native American tribal governments Native American tribal organizations Domestic means located in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</si>
  <si>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purpose of the Nursing Workforce Diversity (NWD) program is to increase nursing education opportunities for individuals who are from disadvantaged backgrounds (including racial and ethnic minorities underrepresented among registered nurses). The program uses comprehensive, evidence-based strategies to provide more inclusive and culturally aligned nursing education environments that will support students from disadvantaged backgrounds. Please refer to the Bureau of Health Workforce Glossary for program terms applicable to this Notice of Funding Opportunity (i.e., disadvantaged background, underrepresented minority).</t>
  </si>
  <si>
    <t>City or township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</si>
  <si>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Postdoctoral Training in General, Pediatric, and Public Health Dentistry</t>
  </si>
  <si>
    <t>Others (see text field entitled "Additional Information on Eligibility" for clarification) You can apply if you are an entity that has:  An accredited dental or dental hygiene program or  An approved residency or advanced education program in general, pediatric, or public health dentistry.  If you are eligible, you may partner with a school of public health to provide a masters degree in public health to dental students, residents, and dental hygiene students. Individuals and for-profit entities are not eligible applicants under this NOFO.</t>
  </si>
  <si>
    <t>The purpose of the Postdoctoral Training in General, Pediatric, and Public Health Dentistry (PDD) program is to improve access to and delivery of oral health care services in rural and underserved communities. If you receive this grant, you will support innovative postdoctoral dental residency and fellowship training programs at community-based organizations (CBOs) to prepare general, pediatric, and public health dentists to practice and lead new models of oral health care delivery. A community-based organization is a community-based, ambulatory patient care center that operates a primary care dentistry training program. Funded grant training activities must start by the beginning of the second budget period, July 1, 2026. You must conduct your project in one or more of the following three focus areas:
 â€¢
 Rural training sites.
 â€¢
 Underserved populations.
 â€¢
 A dental public health residency program.</t>
  </si>
  <si>
    <t>State governments Department of Hawaiian Home Lands. Additional information on eligible applicants for this Program is included in the Notice of Funding Opportunity.</t>
  </si>
  <si>
    <t>Others (see text field entitled "Additional Information on Eligibility" for clarification)  	Not-for-profit organizations, including think tanks, cultural institutions, and civil society/non-governmental organizations  	Public educational institutions 	Governmental institutions 	Individuals 	Not-for-profit organizations and individuals from the United States and the Czech Republic may apply but should present evidence of a relationship with a local partner operating in Slovakia in their proposals.</t>
  </si>
  <si>
    <t>Others (see text field entitled "Additional Information on Eligibility" for clarification)  	Not-for-profit organizations, including think tanks, cultural institutions, and civil society/non-governmental organizations  	Public educational institutions 	Governmental institutions 	Individuals 	Not-for-profit organizations and individuals from the United States may apply but should present evidence of a relationship with a local partner operating in Slovakia in their proposals.</t>
  </si>
  <si>
    <t>Changing Health Systems Using Evidence-based interventions to increase Colorectal Cancer Screening</t>
  </si>
  <si>
    <t>HHS-CDC-NCCDPHP</t>
  </si>
  <si>
    <t>Centers for Disease Control - NCCDPHP</t>
  </si>
  <si>
    <t>This announcement funds recipients who will partner with health systems and primary care clinics with low colorectal cancer (CRC) screening prevalence. Recipients will work with their partners to use evidence-based interventions (EBIs) to increase screening in people aged 45 to 75 years old. The focus is on populations that have low screening prevalence and experience barriers to screening.   Partner clinics must have screening prevalence below the national, regional, or local average. Programs should emphasize identifying populations that have lower screening prevalence or clinic sub-populations who may need more support to complete the screening process.   To implement the program recipients will do all the following:   Establish partnerships with health systems and primary care clinics to implement at least three multicomponent EBIs recommended in The Community Guide. These EBIs must focus on different areas of the clinical system (such as increasing demand, increasing access, and increasing delivery of screening recommendations).  Establish partnerships with organizations that support implementing EBIs, improving data collection, and enhancing use of electronic health records (EHRs) in primary care clinics to increase CRC screening.  Conduct a formal readiness assessment of each partner clinicâ€™s capacity to implement EBIs. Use this assessment to select EBIs that will support improved CRC screening.  Make sure clinics have a CRC screening champion in the clinic. Use a limited amount of funding to pay for stool-based testing in partner clinics and to ensure follow-up colonoscopies occur after a positive or abnormal screening test, as a payor of last resort.  Submit high-quality, clinic-level data, including baseline and annual CRC screening prevalence, aggregate data on stool-based tests provided to and returned by patients, and aggregate data on follow-up colonoscopies including those supported by the program.  Make sure health systems and clinics develop the capacity to collect data and track the entire CRC screening process patients undergo.  Submit one success story every six months.  Plan and complete an evaluation of program activities and submit an annual evaluation report.</t>
  </si>
  <si>
    <t>Rural Health Network Development Planning Program</t>
  </si>
  <si>
    <t>City or township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Federally Qualified Health Centers (FQHC)  Community health centers  Rural Health Clinics (RHCs)  Hospitals  Rural Emergency Hospitals ? Native American tribal governments ? Native American tribal organizations Tribal exception: HRSA is aware that tribes and tribal organizations may have an established infrastructure without separation of services recognized by filing for EINs or UEI. In case of tribes and tribal governments, only a single EIN or UEI located in a HRSA-designated rural area is necessary to meet the network requirements. Tribes and tribal entities under the same tribal governance must still meet the network criteria of three or more entities under the single EIN or UEI. Each tribe or tribal entity must be committed to the proposed approach as evidenced by a signed letter of commitment. Please see the Tribal EIN/UEI exception request attachment for information on how to request this exception. * Domestic means the fifty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</si>
  <si>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Rural Health Network Development Planning Program supports the planning and development of rural integrated health care networks with specific focus on collaboration of entities to establish or improve local capacity and care coordination in underserved communities. Specifically, the program uses the concept of developing networks as a strategy for linking rural health care network participants together to achieve greater collective capacity to overcome local challenges, expand access and improve the quality of care in the rural communities these organizations serve.
 The program helps network participants work together on three legislative aims:
 â€¢
 Achieve efficiencies.
 â€¢
 Expand access to, coordinate, and improve the quality of basic health care services and associated health outcomes.
 â€¢
 Strengthen the rural health care system as a whole.
 The intent is that rural health networks will do the following:
 â€¢
 Expand access to care.
 â€¢
 Increase the use of health information technology.
 â€¢
 Explore alternative health care delivery models.
 â€¢
 Continue to achieve quality health care across the continuum of care.</t>
  </si>
  <si>
    <t>County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Units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</si>
  <si>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NIOSH Underground Mine Evacuation Technologies and Human Factors Research</t>
  </si>
  <si>
    <t>City or township governments Only one application per institution is allowed. The CDC/NIOSH will not accept duplicate or highly overlapping applications under review at the same time. This means that the CDC/NIOSH will not accept: (1) A new (A0) application that is submitted before issuance of the summary statement from the review of an overlapping new (A0) or resubmission (A1) application; (2) A resubmission (A1) application that is submitted before issuance of the summary statement from the review of the previous new (A0) application; (3) An application that has substantial overlap with another application pending appeal of initial peer review. The congressional intention is that the award goes to a U.S. academic institution that (1) offers an ABET-accredited undergraduate degree program in mining or mineral engineering (under the Mining and Similarly Named Engineering Programs criteria) and (2) graduate degree programs in both mining and explosives engineering. Note to Applicants: Applicants should submit documentation of (1) an ABET-accredited undergraduate degree program in mining or mineral engineering (under the Mining and Similarly Named Engineering Programs criteria) and (2) graduate degree programs in both mining and explosives engineering to establish eligibility.</t>
  </si>
  <si>
    <t>The purpose of this Notice of Funding Opportunity Announcement (NOFO) is to solicit meritorious applications from U.S. academic institutions that offer graduate degree programs in both mining and explosives engineering. This NOFO seeks to support research specifically focused on underground mine evacuation technologies and human factors related to mine emergencies, building on NIOSH's efforts to meet the mandates of the Mine Improvement and New Emergency Response Act of 2006, which aims to advance the safety and health of mine workers in the United States. Research priorities include developing new wireless communication devices and methodologies; developing training, systems, and tools to facilitate miner self-escape; and continuing to improve the design of refuge alternatives. Possible research topics of interest may include other health and safety issues in related areas, particularly those associated with mine emergencies caused by mine fires and explosions. Interested applicants are encouraged to consider aspects of their graduate degree programs in mining and explosives engineering, including unique facilities, that could best support research related to mine emergencies and other aspects of the MINER Act. A key factor of this announcement is the congressional intention that the award goes to a U.S. academic institution that (1) offers an Accreditation Board for Engineering and Technology, Inc. (ABET)-accredited undergraduate degree program in mining or mineral engineering (under the Mining and Similarly Named Engineering Programs criteria) and (2) offers graduate degree programs in both mining and explosives engineering.</t>
  </si>
  <si>
    <t>Advancing national epidemiologic, surveillance, research and laboratory capacities and systems to support a sustainable and resilient response to HIV/TB and related public health threats in the Kingdom of Eswatini under PEPFAR</t>
  </si>
  <si>
    <t>HHS-CDC-GHC</t>
  </si>
  <si>
    <t>Centers for Disease Control-GHC</t>
  </si>
  <si>
    <t xml:space="preserve">Special district governments </t>
  </si>
  <si>
    <t>The Award Ceiling for Year 1 is 0 (none). CDC anticipates an Approximate Total Fiscal Year Funding amount of $5,500,000 for Year 1, subject to the availability of funds.We expect you to partner with the Government of the Kingdom of Eswatini to strengthen national surveillance, research, and laboratory capacities, as well as emergency preparedness and response systems and structures to monitor and inform a sustainable response to HIV/TB and related public health threats.Activities should strengthen the Ministry of Health (MOH) and other relevant government entitiesâ€™ capacity to oversee, conduct, and advance public health surveillance, research, and surveys while expanding local epidemiologic competencies. Areas of focus include:Outbreak detection, investigation, response and recovery.Epidemic modeling.Data analytics and visualization.As part of ongoing efforts to strengthen national laboratory systems, priority activities will:Tackle structural barriers.Enhance diagnostic network operations.Build molecular testing capacity.Advance laboratory information system interoperability.Improve quality management.Facilitate access to and uptake of quality laboratory services.Eswatiniâ€™s public health preparedness and response systems and structures will be reinforced with activities that assist MOH in its efforts to strengthen the Eswatini CDC (National Public Health Institute [NPHI]) pillars, which include not only early warning surveillance and the national public health laboratory, but also public health workforce, the emergency operations center, and health/risk communication.</t>
  </si>
  <si>
    <t>Nonprofits having a 501(c)(3) status with the IRS, other than institutions of higher education Native American Tribal organizations (other than federally recognized Tribal governments), Units of local government</t>
  </si>
  <si>
    <t>Nonprofits having a 501(c)(3) status with the IRS, other than institutions of higher education Eligible applicants are State governments, local governments, nonprofits (including non-profit institutions of higher education), and Federally Recognized Indian Tribes, Alaskan Natives, and Native Hawaiian Organizations as defined by 54 USC 300300. Sites or collections owned or leased by the NPS, or in which the NPS holds a property interest are not eligible.Important noteProperties must be listed in or eligible for listing in the National Register of Historic Places at the time of application. Properties must be listed in the National Register at the conclusion of the grant. Priority will be given to state-owned properties per Congressional direction.</t>
  </si>
  <si>
    <t>Tribal Maternal, Infant, and Early Childhood Home Visiting Program Grants</t>
  </si>
  <si>
    <t>HHS-ACF</t>
  </si>
  <si>
    <t>Administration for Children and Families</t>
  </si>
  <si>
    <t>Native American tribal organizations (other than Federally recognized tribal governments) Eligible applicants are federally recognized Indian tribes (or consortium of tribes), tribal organizations, and urban Indian organizations, as defined by section 4 of the IndianHealth Care Improvement Act, Public Law 94-437. Indian tribe  means any Indian tribe, band, nation, or other organized group or community, including any Alaska Native village or group or regional or village corporation as defined in or established pursuant to the Alaska Native Claims Settlement Act (85 Stat. 688), which is recognized as eligible for the special programs and services provided by the United States to Indians because of their status as Indians;  Tribal organization  means the elected governing body of any Indian tribe or any legally established organization of Indians that is controlled by one or more such bodies or by a board of directors elected or selected by one or more such bodies (or elected by the Indian population to be served by such organization) and that includes the maximum participation of Indians in all phases of its activities; and Urban Indian organization  means a nonprofit corporate body situated in an urban center, governed by an urban Indian controlled board of directors, and providing for the maximum participation of all interested Indian groups and individuals, which body is capable of legally cooperating with other public and private entities for the purpose of performing the activities described in section 503(a). Applications from individuals (including sole proprietorships) and foreign entities are not eligible and will be disqualified from the merit review and funding under this funding opportunity.</t>
  </si>
  <si>
    <t>The Office of Early Childhood Development (ECD) within the Administration for Children and Families (ACF) will be soliciting applications for the Fiscal Year 2025 Tribal Maternal, Infant, and Early Childhood Home Visiting (MIECHV) Grant Program. Funds will support 5-year cooperative agreements between ACF and federally recognized Indian tribes (or a consortium of Indian tribes), tribal organizations, or urban Indian organizations interested in developing, implementing, sustaining, or expanding an evidence-based home visiting program serving expectant families and families with young children aged birth to kindergarten. Awards will support implementation of high-quality, culturally grounded, evidence-based home visiting services to American Indian and Alaska Native (AIAN) families and children; implementation of performance measurement and continuous quality improvement systems; development of early childhood systems; and participation in research and evaluation activities to build evidence around home visiting, particularly in tribal communities.Home visiting programs are intended to promote outcomes such as improved maternal and prenatal health, infant health, and child health and development; reduced child maltreatment; improved parenting practices related to child development outcomes; improved school readiness; improved family socio-economic status; improved coordination of referrals to community resources and supports; and reduced incidence of injuries, crime, and domestic violence. The goals of the Tribal MIECHV program are to support healthy, happy, successful AIAN children and families through a coordinated, high-quality, culturally grounded, evidence-based home visiting strategy; to continue to build the evidence base for home visiting in tribal communities; and to support coordination among early childhood programs serving AIAN families and development of early childhood systems.</t>
  </si>
  <si>
    <t>Tribal Self-Governance Negotiation Cooperative Agreement Program</t>
  </si>
  <si>
    <t>HHS-IHS</t>
  </si>
  <si>
    <t>Indian Health Service</t>
  </si>
  <si>
    <t>Others (see text field entitled "Additional Information on Eligibility" for clarification) Under this announcement, an applicant must be one of the following as defined under 25 U.S.C. 1603:   Applicant must be an  Indian Tribe  as defined in 25 U.S.C. 5304(e); a  Tribal Organization  as defined in 25 U.S.C. 5304(l); or an  Inter-Tribal Consortium  as defined at 42 CFR 137.10. Please note that Tribes prohibited from contracting pursuant to the Indian Self-Determination and Education Assistance Act are not eligible. See section 424(a) of the Consolidated Appropriations Act, 2014, Public Law No. 113-76, as amended by section 428 of the Consolidated Appropriations Act, 2018, Public Law No. 115-141, and section 1201 of the Consolidated Appropriations Act, 2021, Public Law No. 116-260.   Pursuant to 25 U.S.C. 5383 (c)(1)(B), applicant must request participation in self-governance by resolution or other official action by the governing body of each Indian Tribe to be served.   Pursuant to 25 U.S.C. 5383 (c)(1)(C), applicant must demonstrate financial stability and financial management capability for 3 consecutive fiscal years.</t>
  </si>
  <si>
    <t>The purpose of this Negotiation Cooperative Agreement is to provide Tribes with resources to help defray the costs associated with preparing for and engaging in Tribal Self-Governance Program (TSGP) negotiations. TSGP negotiations are a dynamic, evolving, and tribally driven process that requires careful planning, preparation, and sharing of precise, up-to-date information by both Tribal and Federal parties. Because each Tribal situation is unique, a Tribeâ€™s successful transition into the TSGP, or expansion of their current program, requires focused discussions between the Federal and Tribal negotiation teams about the Tribeâ€™s specific health care concerns and plans. One of the hallmarks of the TSGP is the collaborative nature of the negotiations process, which is designed to: 1) enable a Tribe to set its own priorities when assuming responsibility for IHS Programs, Services, Functions, and Activities (PSFA); 2) observe and respect the government-to-government relationship between the U.S. and each Tribe; and 3) involve the active participation of both Tribal and IHS representatives, including the Office of Tribal Self-Governance. Negotiations are a method of determining and agreeing upon the terms and provisions of a Tribeâ€™s Compact and FA, the implementation documents required for the Tribe to enter into the TSGP. The Compact sets forth the general terms of the government-to-government relationship between the Tribe and the Secretary of the U.S. Department of Health and Human Services (HHS). The FA: 1) describes the length of the agreement (whether it will be annual or multi-year); 2) identifies the PSFAs, or portions thereof, the Tribe will assume; 3) specifies the amount of funding associated with the Tribal assumption; and 4) includes terms required by Federal statutes and other terms agreed to by the parties. Both documents are required to participate in the TSGP and they are mutually negotiated agreements that become legally binding and mutually enforceable after both parties sign the documents. Either document can be renegotiated at the request of the Tribe.</t>
  </si>
  <si>
    <t>Tribal Self-Governance Planning Cooperative Agreement Program</t>
  </si>
  <si>
    <t>Native American tribal organizations (other than Federally recognized tribal governments) Under this announcement, an applicant must be one of the following as defined under 25 U.S.C. 1603:   Applicant must be an  Indian Tribe  as defined in 25 U.S.C. 5304(e); a  Tribal Organization  as defined in 25 U.S.C. 5304(l); or an  Inter-Tribal Consortium  as defined at 42 CFR 137.10. Please note that Tribes prohibited from contracting pursuant to the Indian Self-Determination and Education Assistance Act are not eligible. See section 424(a) of the Consolidated Appropriations Act, 2014, Public Law No. 113-76, as amended by section 428 of the Consolidated Appropriations Act, 2018, Public Law No. 115-141, and section 1201 of the Consolidated Appropriations Act, 2021, Public Law No. 116-260.   Pursuant to 25 U.S.C. 5383 (c)(1)(B), applicant must request participation in self-governance by resolution or other official action by the governing body of each Indian Tribe to be served.   Pursuant to 25 U.S.C. 5383 (c)(1)(C), applicant must demonstrate financial stability and financial management capability for 3 consecutive fiscal years.</t>
  </si>
  <si>
    <t>The purpose of this Planning Cooperative Agreement is to provide resources to Tribes interested in entering the Tribal Self-Governance Program (TSGP) and to existing Self-Governance Tribes interested in assuming new or expanded Programs, Services, Functions, and Activities (PSFA). Title V of the Indian Self-Determination and Education Assistance Act requires a Tribe or Tribal organization (T/TO) to complete a planning phase to the satisfaction of the Tribe. The planning phase must include legal and budgetary research and internal Tribal government planning and organizational preparation relating to the administration of health care programs. See 25 U.S.C. 5383(d). The planning phase is critical to negotiations and helps Tribes make informed decisions about which PSFAs to assume and what organizational changes or modifications are necessary to successfully support those PSFAs. A thorough planning phase improves timeliness and efficient negotiations and ensures that the Tribe is fully prepared to assume the transfer of IHS PSFAs to the Tribal health program.</t>
  </si>
  <si>
    <t xml:space="preserve">Small businesses </t>
  </si>
  <si>
    <t>HEAL Initiative: Translating Research to Practice to End the Overdose Crisis (R33 Clinical Trial Optional)</t>
  </si>
  <si>
    <t>This RFA will act as a parent RFA for the HEAL initiative Translation to Practice Team, specifically encouraging translational dissemination and implementation research focused on addressing overdose deaths and the intersection of pain and OUD. This RFA will function in tandem with targeted NOSIs that announce more specific areas of focus. For FY25, this currently includes the Workforce NOSI, the Exposure to Violence NOSI, and the Leveraging Inpatient Hospitalizations NOSI.  It has a companion R61/R33 RFA.</t>
  </si>
  <si>
    <t>HEAL Initiative: Translating Research to Practice to End the Overdose Crisis (R61/R33 Clinical Trial Optional)</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</si>
  <si>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</si>
  <si>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RFA will act as a parent RFA for the HEAL initiative Translation to Practice Team,  specifically encouraging translational dissemination and implementation research focused on addressing overdose deaths and the intersection of pain and OUD. This RFA will function in tandem with targeted NOSIs that announce more specific areas of focus. For FY25, this currently includes the Workforce NOSI, the Exposure to Violence NOSI, and the Leveraging Inpatient Hospitalizations NOSI.  It has a companion R33 RFA.</t>
  </si>
  <si>
    <t>Strategy to Deliver Evidence-Based Falls Prevention Programs to Older Adults with Behavioral Health and Chronic Conditions</t>
  </si>
  <si>
    <t>State governments Foreign entities are not eligible to compete for, or receive, awards made under this announcement. Faith-based and community organizations that meet the eligibility requirements are eligible to receive awards under this funding opportunity announcement.</t>
  </si>
  <si>
    <t>The purpose of this funding opportunity is to develop and implement robust statewide strategy that support the delivery and sustainability of falls prevention evidence-based programs for older adults and adults with disabilities who are at risk of social isolation and falls. The project will be person-centered, trauma informed, and culturally appropriate to meet the needs of the target population. It will require the awardee to develop partnerships and work collaboratively with organizations that serve particular populations. Goals include:Goal 1: On a statewide level, develop capacity (e.g., instructors, partnerships, and referral networks) to increase the number of older adults and adults with disabilities, identified from target population, who participate in group evidence-based falls prevention programs to empower them to reduce falls and/or their risk of falls.Goal 2: Develop and disseminate 508-compliant resources specific to grant learnings to enhance knowledge in the target population and aid in the sustainability of evidence-based falls prevention programs. The Administration on Aging (AoA), part of the Administration for Community Living (ACL), plans to award 4 cooperative agreements with a three-year project period, subject to availability of funds.</t>
  </si>
  <si>
    <t>Expanding Strategies for Community Evidence-Based Falls Prevention Programming</t>
  </si>
  <si>
    <t>Special district governments Foreign entities are not eligible to compete for, or receive, awards made under this announcement. Faith-based and community organizations that meet the eligibility requirements are eligible to receive awards under this funding opportunity announcement.</t>
  </si>
  <si>
    <t>PurposeThe intent of this funding opportunity is to award entities to focus on specific targeted partnerships and innovative strategies to reduce falls and/or falls risk among the majority being older adults (60 years and older) and adults with disabilities, with a focus on those with greatest social and/or greatest economic needs (i.e., target population for this Funding) through the implementation of evidence-based falls prevention programs with an innovative person-centered approach.This funding opportunity has two goals:Goal 1: Develop an innovative fall prevention method that includes targeted partnerships and outreach to recruit the target population into small group in-person evidence-based falls prevention programs.Goal 2: Design an evaluation of your intervention to assess the impact of the effort on reducing falls and/or the risk of falls, and develop and disseminate 508-compliant program results, resources, lessons learned, and process documents to inform practice, service delivery, program development and/or policymaking for other organizations to replicate this approach, to include a comprehensive list of partnerships developed.The Administration on Aging (AoA), part of the Administration for Community Living (ACL), plans to award 2 cooperative agreements with a three-year project period, subject to availability of funds.</t>
  </si>
  <si>
    <t>Strengthening the technical capacity of the Ministry of Health to deliver a sustainable and resilient response to HIV/TB and related public health threats in the Kingdom of Eswatini under PEPFAR</t>
  </si>
  <si>
    <t>The Award Ceiling for Year 1 is 0 (none). CDC anticipates an Approximate Total Fiscal Year Funding amount of $3,500,000 for Year 1, subject to the availability of funds.We expect you to provide technical assistance to the Eswatini Ministry of Health (MOH) national and regional structures to strengthen programmatic leadership and oversight capacities toward ending HIV as a public health threat in Eswatini by 2030. The technical assistance you provide should systematically increase MOH ownership, accountability, and capacity to provide quality services to maintain gains made in the HIV response and accelerate progress to close remaining gaps. You will be expected to support the MOH to:Conduct strategic planning and develop policies, guidelines, and implementation plans.Strengthen health workforce capacity through development and implementation of innovative training, data-driven clinical mentorship, and continuous quality improvement (CQI) approaches, tools, and processes.Introduce evidence-based interventions.Foster innovation.Coordinate activities.Provide oversight and performance monitoring of HIV/TB and related programs.Additionally, you will be expected to strengthen organizational, financial, and technical capacity of select local entities. Emphasis should be placed on designing interventions that can be integrated into routine health delivery platforms, used across program areas, and eventually sustained through domestic funding.</t>
  </si>
  <si>
    <t>Healthy Tomorrows Partnership for Children Program (HTPCP)</t>
  </si>
  <si>
    <t>County governments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or the Republic of Palau. Individuals are not eligible applicants under this NOFO.</t>
  </si>
  <si>
    <t>The purpose of the Healthy Tomorrows Partnership for Children Program (HTPCP) is to support community-based projects that promote access to preventive clinical and public health services for underserved children.</t>
  </si>
  <si>
    <t>Supporting the provision of person-centered, equitable, high-quality, and integrated service delivery towards a sustainable and resilient HIV/TB response in the Kingdom of Eswatini under PEPFAR</t>
  </si>
  <si>
    <t>The Award Ceiling for Year 1 is 0 (none). CDC anticipates an Approximate Total Fiscal Year Funding amount of $4,000,000 for Year 1, subject to the availability of funds.We expect you to support person-centered, equitable, high-quality, and integrated HIV/TB prevention, care, and treatment services at site level in alignment with the Kingdom of Eswatiniâ€™s vision toward a sustainable HIV/TB response and PEPFAR's Five-year Strategy strategic strategy (2023-2028).Support will enhance the demand for and delivery of services, guide implementation of guidelines, foster innovation, promote service integration, maintain quality, and improve effective data use. To prevent disruptions in service delivery, more intensive logistical and technical support may be needed to mitigate risks in areas such as laboratory diagnostic services, commodity management, and health information system implementation.One expected outcome of this NOFO is that the intensity of support will gradually decrease with the goal of transitioning service delivery, key response functions, and clinical mentorship to the Ministry of Health (MOH) and/or other local entities over the course of the award. While investments should emphasize HIV/TB-related interventions, they should be adaptable to broader public health goals.Support will likely focus on Manzini and Lubombo regions, but you should be able to work across all regions. Interventions and approaches should be informed through meaningful engagement with stakeholders, community organizations, beneficiaries, and affected communities.</t>
  </si>
  <si>
    <t>Strengthening the organizational capacity of the Ministry of Health to deliver a sustainable and resilient response to HIV/TB and related public health threats in the Kingdom of Eswatini under PEPFAR</t>
  </si>
  <si>
    <t>The Award Ceiling for Year 1 is 0 (none). CDC anticipates an Approximate Total Fiscal Year Funding amount of $2,000,000 for Year 1, subject to the availability of funds.We expect you to provide technical assistance to the Eswatini Ministry of Health (MOH) to help them plan, coordinate, and manage a sustainable and resilient HIV/TB response. You should focus on building organizational capacity in three areas:Leadership and governance.Resource mobilization and financial management.Workforce planning and performance management.Specifically, we expect you to use evidence-based approaches to help:Strengthen the MOHâ€™s governance structures, oversight functions, and operational processes to effectively lead and coordinate the strategic objectives of the HIV response.Facilitate resource mobilization and use for the HIV response through improving financing, stewardship mechanisms, visibility, and stakeholder engagement.Foster a responsive health sector workforce that is well-coordinated, trained, and equipped through data-driven planning and enhanced performance management.Robust capacity in these organizational domains will position the MOH to nimbly adapt to emerging issues in the HIV/TB response and address related public health threats.</t>
  </si>
  <si>
    <t>Develop and Test HIV Prevention Interventions for Black and Hispanic Gay, Bisexual, and Other Men Who Have Sex with Men Who Use Substances</t>
  </si>
  <si>
    <t>Private institutions of higher education N/A</t>
  </si>
  <si>
    <t>The purpose of this Notice of Funding Opportunity (NOFO) is to support pilot research to develop and test behavioral implementation strategies for biomedical interventions (e.g., oral PrEP, condoms) to improve HIV and STI prevention implementation among disproportionately affected populations, especially Black/African American (Black) and Hispanic/Latino (Hispanic) gay, bisexual, and other men who have sex with men (MSM) without HIV who report substance use (drug or alcohol). The study design and sample size should meet minimum requirements for consideration of the CDC Compendium of Best Evidence (https://www.cdc.gov/hivpartners/php/compendium/) and thus may have the potential for future CDC HIV prevention funding implementation in jurisdictions around the United States. The applicants should have access to research participants in priority jurisdictions outlined in Ending the HIV Epidemic in the United States (EHE), in support of the goals of EHE (Ending the HIV Epidemic in the US (EHE) | EHE Initiative | CDC), the HIV National Strategic Plan for the United States: A Roadmap to End the HIV Epidemic (2021-2025) (https://www.cdc.gov/nchhstp/media/pdfs/2024/08/hiv-national-strategic-plan-2021-2025.pdf), and other federal prevention planning efforts.</t>
  </si>
  <si>
    <t>Nonprofits having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</si>
  <si>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State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</si>
  <si>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Continuation of the NIDDK Hematology Central Coordinating Center (U24 Clinical Trial Not Allowed)</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</si>
  <si>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t>
  </si>
  <si>
    <t>This Notice of Funding Opportunity (NOFO) requests applications for the Hematology Central Coordinating Center (HCCC) for the NIDDK Hematology Centers Program. The HCCC is expected to work collaboratively with 4-5 Cooperative Centers of Excellence in Hematology (CCEHs) as part of the NIDDK Hematology Centers Program and serve as a national resource for the larger nonmalignant hematology research community. The HCCC will provide central administrative and communications support for the NIDDK Hematology Centers Program and operate a Pilot and Feasibility Program, supporting pilot research studies that will lead to larger research projects. All activities within the Program are expected to address the overall goal of supporting the national multidisciplinary research effort to combat nonmalignant hematologic diseases and/or tostudy normal hematopoiesis.</t>
  </si>
  <si>
    <t>Integrated Health Initiative (IHI) Activity</t>
  </si>
  <si>
    <t>USAID-AFG</t>
  </si>
  <si>
    <t>Afghanistan USAID-Kabul</t>
  </si>
  <si>
    <t>Please refer to SECTION C: PROGRAM DESCRIPTION for details:The Integrated Health Initiative (IHI) Activity (Activity) will increase equitable access to and quality of health services and increase adoption of healthy behaviors, especially for women and children, in USAID target areas in Afghanistan. The Activityâ€™s priority health areas are maternal and newborn health (MNH); family planning and reproductive health (FP/RH); child health; nutrition; tuberculosis (TB); and mental health. This Activity will build on prior USAID investments, particularly the Assistance to Families and Indigent Afghans to Thrive (AFIAT), the Urban Health Initiative (UHI), and the Local Health System Sustainability (LHSS) activities.The IHI Activity will focus on five high-density population provinces - Kabul, Kandahar, Nangarhar, Herat, and Balkh - with a total population of 12.2 million, which is approximately 25 percent of the total population of the country. These five provinces have a high disease burden, vulnerable populations, and limited access to health services due to distance, high costs, low awareness, and a shortage of female health care providers. Additionally, Kandahar, Herat and Nangarhar have recently received large numbers of Afghans returning from neighboring countries. These populations settle in urban areas for long periods of time before they go to their native provinces, resulting in increased stress to health and other social services.Within these provinces, the Activity will focus on the most vulnerable populations, particularly women, children and marginalized groups. Health workers at all levels also constitute an important beneficiary population due to their central role in providing quality and respectful health services. The Activity will engage men because of the critical role they play in family decision-making related to health.The IHI Activity will need to support a range of different health facilities such as speciality, regional and district hospitals; comprehensive and basic health centers; health posts; and private health facilities. Supporting the private sector is critical to improving access to and the quality of services in the five priority provinces of this Activity. Private facilities already serve a large proportion of the target population; offer opportunities to increase demand for commodities and services through social marketing programs; and some private for profit entities provide subsidized schemes for poor and needy populations to make health services more affordable.</t>
  </si>
  <si>
    <t>PEP Packs: Postexposure Prophylaxis Packs for Immediate Access to HIV and Sexually Transmitted Infection Prevention</t>
  </si>
  <si>
    <t>City or township governments N/A</t>
  </si>
  <si>
    <t>The purpose of this notice of funding opportunity (NOFO) is to support an implementation research study. In this study, optimal strategies will be assessed for a postexposure prophylaxis (PEP) in pocket (PiP) approach for prevention of HIV and sexually transmitted infections (STIs) among disproportionately affected populations, for example, gay, bisexual, and other men who have sex with men (MSM) and transgender women (TGW). The recipient will implement and evaluate a comprehensive strategy to integrate PEP packs as a component of existing PrEP and STI clinical services. PEP packs will include a supply of antiretroviral medication for nonoccupational PEP (nPEP), doxycycline for STI PEP (DoxyPEP), HIV and STI self-test kits, and instruction materials. Study clinics should be in communities with high rates of HIV diagnoses among disproportionately affected populations, for example, Black and Hispanic MSM and TGW.</t>
  </si>
  <si>
    <t>2025 Alumni Engagement Innovation Fund (AEIF)</t>
  </si>
  <si>
    <t>Others (see text field entitled "Additional Information on Eligibility" for clarification) The following are eligible to apply:    Applicants who are alumni of a U.S. government- sponsored exchange program (https://alumni.state.gov/list-exchange-programs) or a U.S. government-sponsored exchange program (https://j1visa.state.gov/) in Canada.    Projects teams that include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or alumni associations of U.S. government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t>
  </si>
  <si>
    <t xml:space="preserve">The Public Diplomacy Section of the U.S. Embassy Ottawa is pleased to announce an open competition for past participants (â€œalumniâ€) of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AlumniCanada@state.gov by February 28, 2025, 5:00 pm (EST). 
AEIF provides alumni of U.S. government-sponsored exchange programs with funding to expand on skills gained during their exchange experience to design and implement innovative solutions to global challenges facing their communities. Since its inception in 2011, AEIF has funded nearly 500 alumni-led projects around the world through a competitive global competition. This year, AEIF 2025 will provide funding for public service projects in support of U.S. foreign policy goals and U.S. Mission to Canada priorities. 
Goals and Objectives 
All project activities must take place outside of the United States and its territories. 
Proposals must have at least one of the following as a primary objective: 
 Bring alumni of U.S. government-sponsored exchange programs in Canada together to build or expand an alumni network capable of working together on common interests and increase regional and global alumni collaboration; 
 Strengthen the relationship between alumni of U.S. government-sponsored exchange programs in Canada and the U.S. Mission to Canada (U.S. Embassy Ottawa; U.S. Consulates General Vancouver, Calgary, Toronto, Montreal, Quebec City, and Halifax; and U.S. Consulate Winnipeg) to work together on activities that address mutual goals and challenges. 
They must also align with at least one of the following U.S. Mission to Canada strategic objectives: 
 Increase public awareness and support for U.S.-Canada defense efforts, emphasizing our shared commitment to North American security and prosperity, by increasing support for joint initiatives like NORAD modernization, NATO commitments, and Arctic security; 
 Enhance science and technology collaboration and inspire the next generation of innovators; 
 Establish and strengthen cross-border sports relationships between Canada and the United States, with the aim of developing and implementing models that support community sports and create career pathways for leadership; 
 Promote and spread awareness, understanding, and appreciation of the many shared values between the United States and Canada and the people of our two countries. 
Please be aware that projects funded through this grantâ€¯mustâ€¯include an American element.â€¯This could involve: 
 a connection or partnership between Canadian and American organizations or institutions; 
 an American expert taking part in the project; 
 highlighting or examining shared values and interests between Canada and the United States; 
 incorporating a U.S. approach or method you have learned about to address an issue or challenge facing your community, institution, or profession. 
Grant activities may take any number of forms, including academic competitions, conferences, workshops, courses, curriculum development, hackathons or app development, online projects, mock trials or moot court competitions,â€¯simulationsâ€¯and role-playing activities (e.g., Model Congress, Model United Nations), performances, or other activities. 
Proposals that do not align with one of more of the above objectives will be deemed ineligible. 
 Participants and Audiences: 
One target audience must be alumni of U.S. government-sponsored exchange programs in Canada. Proposals must articulate additional target audiences and how they relate to advancing the chosen project objective/s. 
All application materials must be submitted by email to AlumniCanada@state.gov by 5pm EST on Friday, February 28, 2025. </t>
  </si>
  <si>
    <t>Alumni Engagement Innovation Fund</t>
  </si>
  <si>
    <t>DOS-LSO</t>
  </si>
  <si>
    <t>U.S. Mission to Lesotho</t>
  </si>
  <si>
    <t>Others (see text field entitled "Additional Information on Eligibility" for clarification) The Department of State will entertain applications for continuation grants funded under these awards beyond the initial budget period on a non-competitive basis subject to availability of funds, satisfactory progress of the program, and a determination that continued funding would be in the best interest of the U.S. Department of State. _x000D_
_x000D_
This notice is subject to availability of funding.</t>
  </si>
  <si>
    <t xml:space="preserve">Executive Summary Priority Region: N/A Executive Summary The U.S. Mission to Lesotho announces an open competition for past participants (â€œalumniâ€) of U.S. government-funded/sponsored exchange programs to submit applications to the 2025 Alumni Engagement Innovation Fund (AEIF 2025). We seek proposals that meet all program eligibility requirements below, from teams of at least two exchange alumni. Exchange alumni interested in participating in AEIF 2025 should submit proposals to GrantsMaseru@state.gov by February 1, 2025, at 11:59 p.m. SAST. Eligible Applicants The following are eligible to apply: Alumni Organizations Cost Sharing or Matching Inclusion of cost share is not a requirement for this opportunity. Other Eligibility Requirements The grant shall be processed with an individual, not an organization. Individuals are not required to have a UEI or be registered in SAM.gov. Applicants must be alumni of a U.S. government-funded exchange program (https://alumni.state.gov/list-exchange-programs) or a U.S. government-sponsored exchange program (https://j1visa.state.gov/). Project teams must include at least two (2) alumni. Alumni who are U.S. citizens may not submit proposals but can participate as team members. Alumni teams may be comprised of members from different exchange programs and countries. Applications must be submitted by exchange alumni. Not-for-profit, non-governmental organizations, think tanks, and academic institutions are not eligible to apply in the name of the organization but can serve as partners for implementing project activities. Applicants are only permitted to submit one proposal. Multiple submissions from the same alumni team will be deemed ineligible. </t>
  </si>
  <si>
    <t>Global Health Security</t>
  </si>
  <si>
    <t>USAID-PHI</t>
  </si>
  <si>
    <t>Philippines USAID-Manila</t>
  </si>
  <si>
    <t>Others (see text field entitled "Additional Information on Eligibility" for clarification) Set-aside for local organizations, please see section C.1.</t>
  </si>
  <si>
    <t>The purpose of Addendum 6 - GHS is to develop sub-national capacity (regional, provincial, city, municipal, and barangays) to prevent, detect, and respond to emerging and re-emerging infectious diseases, including antimicrobial resistance (AMR), through a One Health approach. The initiative will focus on enhancing political commitment, accountability, monitoring and evaluation practices, and the overall capacity of the health sector. It aims to develop and implement comprehensive action plans for health security, improve multi-sectoral coordination, and optimize preparedness and response to emerging and re-emerging infectious diseases, including zoonoses and AMR. Endemic diseases are not a priority for this activity.The purpose of the Amendment 1 to the Addendum 6 is to: (a) correct the year of the Questions Submission Closing Date and Addendum Submission Deadline in the attachment document; and (b) update status of the Joint External Evaluation. The specific change in the document are highlighted in yellow. All other terms in the Addendum not highlighted remain the same from the original posting.</t>
  </si>
  <si>
    <t>USAID/CARPE Promoting Alternative Technologies and Fuels to Reduce the Use of Charcoal for Cooking in the Democratic Republic of Congo</t>
  </si>
  <si>
    <t>The objective of the USAID Promoting Alternative Technologies and Fuels to Reduce the Use of Charcoal for Cooking in the Democratic Republic of the Congo activity is to reduce deforestation and forest degradation by reducing the amount of charcoal that is used for cooking.</t>
  </si>
  <si>
    <t>USAID Nigeria Global Health Security Activities</t>
  </si>
  <si>
    <t>Others (see text field entitled "Additional Information on Eligibility" for clarification) The United States Agency for International Development in Nigeria (USAID/Nigeria) is issuing this Notice of Funding Opportunity (NOFO) for potential local Nigerian organizations</t>
  </si>
  <si>
    <t>The United States Agency for International Development in Nigeria (USAID/Nigeria) is issuing this Notice of Funding Opportunity (NOFO) for potential local organizations to provide concepts for two (2) Global Health Security (GHS) activities that are focused on 1. Global Health Security Coordination and Response and 2. Global Health Security Capacities Strengthening.  These activities will support the Government of Nigeriaâ€™s (GON) Health Sector Renewal Investment Plan.</t>
  </si>
  <si>
    <t>Development Cooperation Partnership (DCP) Program, Round 12</t>
  </si>
  <si>
    <t>DOS-UKR</t>
  </si>
  <si>
    <t>U.S. Mission to Ukraine</t>
  </si>
  <si>
    <t>Others (see text field entitled "Additional Information on Eligibility" for clarification) Not-for-profit organizations, including think tanks and civil society/non-governmental organizations _x000D_
Public and private educational institutions, research institutions_x000D_
Public International Organizations and Governmental institutions</t>
  </si>
  <si>
    <t xml:space="preserve">U.S. Embassy Kyivâ€™s Office of the Assistance Coordinator announces an open competition for organizations to submit applications for the twelfth round of the DCP to continue building U.S. foreign assistance partnerships with 11 eligible partner donor governments (PDGs) in Central and Eastern Europe aimed at supporting aspirations of the Ukrainian people for European integration, democratic transformation, peace, and security. </t>
  </si>
  <si>
    <t>ROSES 2024: A.65 Responsive Science Initiatives Research</t>
  </si>
  <si>
    <t xml:space="preserve">Please note that this program requests optional Notices of Intent, which are due via NSPIRES by January 24, 2025. See the full posting on NSPIRES for details. 
Proposers must retrieve the instructions document (zip file) associated with the application package for this opportunity as there is at least one required form that must be attached to the submitted proposal package. Application will be posted at https:///www.grants.gov/ only if you make a request to the point of contact listed below (with cc to sara@nasa.gov) at least 30 days in advance of the due date.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</si>
  <si>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HIV Prevention Among Adolescent Girls and Young Women and Other Vulnerable Youth Populations - DREAMS North</t>
  </si>
  <si>
    <t>The goal of this Activity "HIV Prevention Among Adolescent Girls and Young Women and Other Vulnerable Youth Populations - DREAMS North" is to: substantially lower HIV incidence among adolescent girls and young women (AGYW) ages 10-24 in the below geographic areas of highest HIV incidence and prevalence. It is envisioned that this goal will be achieved by improving AGYW access to a comprehensive package of evidence-based/informed, age-appropriate prevention interventions that address biological, behavioral, and socio-economic determinants of HIV risk, and by prioritizing the supply of contraception, STI treatment, and Post Exposure Prophylaxis (PEP). 
This Activity is anticipated to encompass three provinces: Mpumalanga (Gert Sibanda, Nkangala, and Ehlanzeni), Gauteng (City of Johannesburg and Sedibeng), and Limpopo (Mopani and Capricorn).</t>
  </si>
  <si>
    <t>Model Continuums of Care Initiative (MCCI) to Advance Health Equity and End Health Disparities Among Women and Girls in Racial/Ethnic Minority and Other Underserved Communities (U34 Clinical Trials Required)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</si>
  <si>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</si>
  <si>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The purpose of this NOFO is to support the planning phase of the Model Continuums of Care Initiative (MCCI) to Advance Health Equity and End Health Disparities Among Women and Girls in Racial/Ethnic Minority and Other Underserved Communities.  MCCI is a multi-ICO dissemination and implementation science initiative to advance health equity and end health disparities in racial/ethnic minority women and girls of reproductive age.  Specifically, the Model Continuums of Care Initiative will apply the latest dissemination and implementationscience approaches to significantly reduce the prevalence and impact of multi-morbidity among racial/ethnic minority women and girls of reproductive age at risk and living with mental health disorders, substance use disorders, chronic stress, cardiopulmonary diseases, common metabolic disorders (e.g., diabetes), cancer, and HIV/AIDS.  This concept proposes a continuum of care approach that integrates preventive health services, primary care, behavioral health, integrative care, and cardiopulmonary and endocrine specialties to fully address health care needs in each of these domains, and to have maximum impact on the overall health and well-being ofracial and ethnic minority and other underserved women and girls.  While MCCI is not a maternal health initiative, women and girls ages 15-44 yrs. are centered because it is during the early reproductive period, i.e., adolescence, that multimorbidity typically begins and rapidly progresses, setting the stage for multiple chronic debilitating conditions in later life.  Special emphasis will be placed on using stakeholder partnerships, provider training, and infrastructure changes to improve access for subgroups of racial/ethnic minority women and girls who currently have the least access to high quality health care (e.g., racial/ethnic minority women and girls living in low resource settings).</t>
  </si>
  <si>
    <t>FY25 IIJA/IRA Bureau of Land Management Headquarters (HQ) Recreation and Visitor Services</t>
  </si>
  <si>
    <t>Field Initiated Projects Program: Minority-Serving Institutions (MSI) - Development</t>
  </si>
  <si>
    <t>Public and State controlled institutions of higher education Parties eligible to apply for FIP - MSI grants are limited to minority entities and Indian Tribes as authorized by Section 21 (b)(2)(A) of the Rehabilitation Act. A minority entity is defined as a Historically Black College or University (HCBU) (a part B institution, as defined in Section 322(2) of the Higher Education Act of 1965, as amended), a Hispanic-serving institution of higher education, an American Indian tribal college or university, or another IHE whose minority student enrollment is at least 50 percent. NIDILRR is especially interested in applications from individual minority entities that have historically been underrepresented in the Federal research arena. Foreign entities are not eligible to compete for, or receive, awards made under this announcement.</t>
  </si>
  <si>
    <t>The purpose of the Field Initiated Projects (FIP) program is to generate new knowledge through research or to develop methods, procedures, and rehabilitation technologies -- to maximize the full inclusion and integration into society, employment, independent living, family/caregiver support, and economic and self-sufficiency of people with disabilities, especially people with the greatest support needs. Another purpose of this grant opportunity is to improve the capacity of minority serving institutions (MSI) to conduct high-quality disability and rehabilitation research and development. In carrying out a development project under a FIP development grant, a grantee must use knowledge and understanding gained from research to create materials, devices, systems, methods, measures, techniques, tools, prototypes, processes, or intervention protocols that are beneficial to the target population. Please note that this will be the funding opportunity for FIP-MSI Development proposals. We will invite FIP-MSI Research proposals under a separate announcement. NIDILRR plans to make four FIP-MSI awards. Grants will have a 36- month project period, with three 12-month budget periods. NIDILRR's FIP-MSI grants will include a combination of research applications and development applications, depending on the combined ranking of individual research and development applications by the peer review panel.</t>
  </si>
  <si>
    <t>ROSES 2024: A.48 Commercial Satellite Data Earth Science Research and Applications</t>
  </si>
  <si>
    <t xml:space="preserve">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</si>
  <si>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Integrated Research, Education, and Extension Competitive Grants Program   Organic Transitions</t>
  </si>
  <si>
    <t>Others (see text field entitled "Additional Information on Eligibility" for clarification) Eligibility Requirements_x000D_
Applicants for the ORG must meet all the requirements discussed in this RFA. Failure to meet the eligibility criteria by the application deadline may result in exclusion from consideration or, preclude NIFA from making an award. For those new to Federal financial assistance, NIFA s Grants Overview provides highly recommended information about grants and other resources to help understand the Federal awards process._x000D_
_x000D_
Applications may only be submitted by colleges and universities, as defined in 7 U.S.C. 3103, 1994 Institutions, and Hispanic-serving agricultural colleges and universities._x000D_
_x000D_
Award recipients may subcontract to organizations not eligible to apply provided such organizations are necessary for the conduct of the project. Failure to meet an eligibility criterion by the application deadline may result in the application being excluded from consideration or, even though an application may be reviewed, will preclude NIFA from making an award.</t>
  </si>
  <si>
    <t>The overall goal of the Organic Transitions Program (ORG) is to support the development and implementation of research, extension and higher education programs to improve the competitiveness of organic livestock and crop producers, as well as those who are adopting organic practices. NIFA administers the ORG program by determining priorities in U.S. agriculture through Agency stakeholder input processes in consultation with the NAREEEAB. ORG will continue to prioritize environmental services provided by organic farming systems in the area of soil conservation, pollinator health, and climate change mitigation, including greenhouse gases (GHG), as well as the development of educational tools for Cooperative Extension personnel and other agricultural professionals who advise producers on organic practices, and development of cultural practices and other allowable alternatives to substances recommended for removal from the National Organic Programâ€™s National List of Allowed and Prohibited Substances. It is expected that all projects will integrate research, education and extension activities, as appropriate to project goals, although some projects may be weighted more heavily than others in one or more of these areas. However, all proposals should have activities and impact in research and at least one of the other areas: education and extension.</t>
  </si>
  <si>
    <t>NEA Grants for Arts Projects 1, FY 2026</t>
  </si>
  <si>
    <t>NEA</t>
  </si>
  <si>
    <t>National Endowment for the Arts</t>
  </si>
  <si>
    <t>Grants for Arts Projects (GAP) provides project-based funding for organizations in the areas of Artist Communities, Arts Education, Dance, Design, Film &amp; Media Arts, Folk &amp; Traditional Arts, Literary Arts, Local Arts Agencies, Museums, Music, Musical Theater, Opera, Presenting &amp; Multidisciplinary Works, Theater, and Visual Arts. Funded activities may include public engagement with the arts and arts education, the integration of the arts with strategies promoting the health and well-being of people and communities, and the improvement of overall capacity and capabilities within the arts sector. Awards require a 1:1 cost share/match. We welcome applications from first-time and returning applicants; from organizations serving rural, urban, suburban, and tribal communities of all sizes; and from organizations with small, medium, or large operating budgets. Eligible applicants include: nonprofit, tax-exempt 501(c)(3), U.S. organizations; units of state or local government; and Federally recognized tribal communities or tribes. Funding in this category is not available for individuals, fiscally sponsored entities, commercial/for-profit enterprises, State Arts Agencies (SAA), or Regional Arts Organizations (RAO).</t>
  </si>
  <si>
    <t>Sea Grant Programs Only - FY2025 Enhancing Knowledge of Aquaculture Technologies, Practices, and Businesses</t>
  </si>
  <si>
    <t>Others (see text field entitled "Additional Information on Eligibility" for clarification) The following entities are eligible to submit to this opportunity: Sea Grant College Programs, Sea Grant Institutional Programs, and Sea Grant Coherent Area Programs.</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</si>
  <si>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communities.Subject to the availability of funding, the National Sea Grant Office (NSGO) anticipates that approximately $500,000 will be available to Sea Grant Programs to provide opportunities for researchers (faculty, undergraduate and graduate students, post-doctoral individuals), Sea Grant extension personnel, and aquaculture community members, or a mixture of participants, to enhance knowledge of aquaculture technologies, production practices and systems, businesses, or other associated topics pertinent to the species or species group of interest to participants. The goal of this opportunity is that participants will utilize the knowledge and expertise gained through their travel experiences in their approach to improve aquaculture research, extension, or aquaculture production, or business activities that will benefit the U.S. coastal, marine, and Great Lakes aquaculture communities. Awards will be made for no more than $75,000 in federal funds per project for a duration of up to one year. Available funding can be used to support travel costs, salary, and costs associated with outreach activities following travel. Travel must be focused on visiting aquaculture sites or facilities, either public or private. Funding for research activities is not permitted through this announcement. Successful applications will: identify, justify, and describe the need or needs to be addressed regarding improvement of aquaculture research, extension, production, or business activities, describe and document the proposed plan regarding how the proposed travel activities will address the identified need or needs, describe how the proposed activities will enhance aquaculture-related activities of project participants, and describe how the proposed activities will benefit the U.S. aquaculture community. Please note that it is envisioned that this funding opportunity, with potential variation in total funding available, will be reinstated annually, contingent on available funding. These investments are consistent with Sea Grantâ€™s focus area of Sustainable Fisheries and Aquaculture (SFA) and the Sea Grant Networkâ€™s 10-year Aquaculture Vision, and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A Sea Grant Program may submit more than one application. Programs are encouraged to partner with other Sea Grant Programs and/or other entities such as individuals, State and Tribal Agencies/Organizations, HBCUs/MSIs, NGOs, aquaculture industry members and associations,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International travel is permitted, however international travel must conform to guidelines specified by the Fly America Act. Applicants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NOAA-OAR-SG-2025-29573.</t>
  </si>
  <si>
    <t>Health Promotion and Disease Prevention Research Centers: 2025 Special Interest Project Competitive Supplements (SIPS)</t>
  </si>
  <si>
    <t>Others (see text field entitled "Additional Information on Eligibility" for clarification) Applicants must be approved for funding under CDC Notice of Funding Opportunity RFA-DP-24-004 Health Promotion and Disease Prevention Research Centers in order to apply for SIP supplemental funding under this announcement. On the SIP applicant's SF424 (R R), the institution's legal name, EIN, and UEI (sections 8a, b and c of SF424) must match the information of the institution selected for funding under RFA-DP-24-004 as listed in the Notice of Award. Special eligibility may apply to each SIP that will be listed in the NOFO. The 20 institutions currently approved for funding under CDC RFA-DP-24-004 as CDC Prevention Research Centers (PRCs) are: CDC Grant # PRC Recipient U48 DP006809 Emory University; U48 DP006803 Georgia State University; U48 DP006785 Harvard School of Public Health; U48 DP006802 Morehouse School of Medicine; U48 DP006778 New York University School of Medicine;  U48 DP006816 San Diego State University; U48 DP006799 University of Arizona; U48 DP006814 University of Arkansas for Medical Sciences; U48 DP006806 University of California, San Francisco; U48 DP006812 University of Iowa; U48 DP006808 University of Massachusetts Medical School Worcester; U48 DP006791 University of Michigan at Ann Arbor; U48 DP006787 University of Minnesota; U48 DP006807 University of North Carolina at Chapel Hill; U48 DP006801 University of Pennsylvania; U48 DP006792 University of Pittsburgh; U48 DP006779 University of Rochester; U48 DP006780 University of South Carolina at Columbia; U48 DP006789 University of Utah; and U48 DP006793 University of Wisconsin-Madison.</t>
  </si>
  <si>
    <t>This NOFO will provide supplemental funding to CDC Prevention Research Centers (PRCs) to conduct Special Interest Projects (SIPs).  The purpose of the SIPs is to inform public health practice through high-quality applied health promotion and disease prevention public health research in real-world settings to identify, design, test, assess, evaluate, disseminate, and translate interventions (i.e., programs, practices, policies, or strategies) and tools or resources to prevent and reduce risk for the leading causes of illness, disability, and death in the United States. The seven SIPs that will be included in this NOFO are: (1) Validating survey questions on prostate cancer screening including PSA testing and shared decision-making; (2) Prostate cancer active surveillance identification using electronic health record; (3) Practice-based evidence on approaches for accurate identification and appropriate selection of individuals for lung cancer screening; (4) Lifestyle Change Implementation Research Network (LCIRN); (5) Understanding the potential of early childcare and education (ECE) centers in promoting childhood vaccines and RSV prevention products; (6) Overdose Prevention and Treatment Research Network (OPTRN) ; and (7) Scaling What Works within the National Comprehensive Cancer Control Program.</t>
  </si>
  <si>
    <t>Field Initiated Projects Program: Minority-Serving Institutions (MSI) -Research</t>
  </si>
  <si>
    <t>Private institutions of higher education Parties eligible to apply for MSI FI grants are limited to minority entities and Indian Tribes as authorized by Section 21 (b)(2)(A) of the Rehabilitation Act of 1973, as amended. A minority entity is defined as a Historically Black College or University (HCBU) (a part B institution, as defined in Section 322(2) of the Higher Education Act of 1965, as amended), a Hispanic-serving institution of higher education, an American Indian tribal college or university, or another IHE whose minority student enrollment is at least 50 percent. NIDILRR is especially interested in applications from individual minority entities that have historically been underrepresented in the Federal research arena.  Foreign entities are not eligible to compete for, or receive, awards made under this announcement.</t>
  </si>
  <si>
    <t>The purpose of the Field Initiated Projects (FIP) program is to generate new knowledge through research or to develop methods, procedures, and rehabilitation technologies -- to maximize the full inclusion and integration into society, employment, independent living, family/caregiver support, and economic and self-sufficiency of people with disabilities, especially people with the greatest support needs. Another purpose of this grant opportunity is to improve the capacity of minority serving institutions (MSI) to conduct high-quality disability and rehabilitation research and development. In carrying out a research project under a Field Initiated Projects research grant, a grantee must identify one or more hypotheses or research questions and, based on the hypotheses or research questions identified, perform an intensive, systematic study directed toward producing (1) new scientific knowledge, or (2) better understanding of the subject, problem studied, or body of knowledge. Please note that this will be the funding opportunity for FIP-MSI Research proposals. We will invite FIP-MSI Development proposals under a separate announcement. NIDILRR plans to make four FIP-MSI awards. Grants will have a 36-month project period, with three 12-month budget periods. NIDILRR's FIP-MSI grants will include a combination of research applications and development applications, depending on the combined ranking of individual research and development applications by the peer review panel.</t>
  </si>
  <si>
    <t>Black Lung Clinics Program</t>
  </si>
  <si>
    <t>For profit organizations other than small businesses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This includes state health departments.  Independent school districts.  Federally Qualified Health Centers (FQHC), community health centers, Rural Health Clinics (RHCs) and hospitals, including Rural Emergency Hospitals  Native American tribal governments  Native American tribal organizations Applicant organizations that are federally recognized tribes or tribal organizations are eligible to apply if conducting all proposed activities within federally recognized tribal areas. Documentation of federally recognized tribal status must be included for this consideration provided in [attachment 1]. Individuals are not eligible applicants under this NOFO. * Domestic means the 50 states, the District of Columbia, the Commonwealth of Puerto Rico, the Northern Mariana Islands, American Samoa, Guam, the U.S. Virgin Islands, the Federated States of Micronesia, the Republic of the Marshall Islands, and the Republic of Palau.</t>
  </si>
  <si>
    <t>The Black Lung Clinic Programâ€™s primary goal is to reduce the morbidity and mortality associated with occupation related coal mine dust lung disease (CMDLD), also known as black lung disease, by providing:
 â€¢Medical services.
 â€¢Outreach services.
 â€¢Educational services.
 â€¢Benefits counseling services.
 All recipients are required to provide certain services to coal miners in their service area. We also provide additional requirements to the minimum required services, to make sure that the quality and breadth of services coal miners receive is sustained in all service areas.</t>
  </si>
  <si>
    <t>Black Lung Data and Resource Center</t>
  </si>
  <si>
    <t>For profit organizations other than small businesses These types of domestic* organizations may apply: Public institutions of higher education Private institutions of higher education Nonprofits with or without a 501(c)(3) IRS status For-profit organizations, including small businesses State, county, city, township, and special district governments, including the District of Columbia, domestic territories, and the freely associated states Independent school districts Rural Emergency Hospitals Native American tribal governments Native American tribal organizations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</si>
  <si>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Black Lung Data and Resource Center (BLDRC) program is to improve health care in rural areas by supporting patient-level data collection and analysis, clinic operations, and the quality and breadth of services provided by recipients of Black Lung Clinics Program (BLCP) funding. For the purposes of this Notice of Funding Opportunity, BLCP award recipients are referred to as BLCP recipients. Additional details about the program requirements and expectations for BLCP recipients can be found in HRSA-25-040.
 Our goal is to strengthen BLCP recipientsâ€™ ability to examine and treat respiratory diseases and pulmonary impairments in active and inactive U.S. coal miners. To that end, the BLDRC provides programmatic assistance and resources to help BLCP recipients use data analysis to better understand the health status and needs of U.S. coal miners. BLDRC support and data analysis contributes to advancing evidence-based models of health care for rural health care providers, including BLCP recipients and other health care providers serving rural populations.
 The BLDRC will work with BLCP recipients and stakeholders to address long-standing challenges and barriers to medical, outreach, educational, and benefits counseling services for U.S. coal miners. The BLDRC will also help collect and analyze information on the demographics and clinical status of coal miners with Coal Mine Dust Lung Diseases (CMDLD), or black lung diseases, especially Coal Workers Pneumoconiosis (CWP) and its most severe form, Progressive Massive Fibrosis (PMF). The BLDRC supports BLCP recipients, including rural health providers, in discerning effective methods to address challenges, analyzing best practices, and informing lessons learned that translate across rural and non-rural health care settings. These methods also expand and further enhance support for health care delivery in rural areas.</t>
  </si>
  <si>
    <t>WaterSMART Applied Science Grants</t>
  </si>
  <si>
    <t>Others (see text field entitled "Additional Information on Eligibility" for clarification) Category A: States, Indian tribes, irrigation districts, water districts; state, regional, or local authorities whose members include one or more organizations with water or power delivery authority; and other organizations with water or power delivery authority.All Category A applicants must be located in the Western United States or United States Territories, including Alaska, Arizona, California, Colorado, Hawaii, Idaho, Kansas, Montana, Nebraska, Nevada, New Mexico, North Dakota, Oklahoma, Oregon, South Dakota, Texas, Utah, Washington, Wyoming, American Samoa, Guam, the Northern Mariana Islands, the Virgin Islands, and Puerto Rico.Category B: Universities, nonprofit research institutions, nonprofit organizations, and federally-funded research and development centers that are acting in partnership and with the agreement of an entity described in Category A.All Category B applicants must be in the United States or the specific Territories identified above.</t>
  </si>
  <si>
    <t>The objective of this NOFO is to invite eligible non-Federal entities to leverage their money and resources by cost sharing with Reclamation on applied science projects (Project) to improve access to and use of hydrologic data, develop and improve water management tools, improve modeling and forecasting capabilities. Results from these projects will be used by water managers to increase water supply reliability, provide flexibility in water operations, improve water management, and support nature-based solutions. Project results must be readily applicable by managersâ€”resulting in tools and information that can be used to support: water supply reliability, water delivery management, water marketing activities, drought management activities, conjunctive use of ground and surface water, water rights administration, ability to meet endangered species requirements, watershed health, conservation and efficiency, support for nature-based solutions and other water management objectives.In general, under this NOFO, Reclamation will provide funding for applied science projects to develop or improve hydrologic information, water management tools, modeling and forecasting capabilities, and improve nature-based solution decisions. Results from these Projects will be used by water managers to increase water supply reliability, provide flexibility in water operations, and improve water management.Proposed projects will be reviewed by the Program Office to determine whether the project type is eligible for evaluation.</t>
  </si>
  <si>
    <t>Academy for Women Entrepreneurs</t>
  </si>
  <si>
    <t>Others (see text field entitled "Additional Information on Eligibility" for clarification) Only non-profit South African or U.S. organizations are eligible to apply. This includes non-profit think tanks, civil society/non-governmental organizations, and public and private educational institutions.</t>
  </si>
  <si>
    <t>The U.S. Embassy in Pretoria of the U.S. Department of State announces an open competition for organizations to submit applications to carry out a program to train 100 women entrepreneurs based in South Africa (60), Lesotho (20), and Eswatini (20). The Academy for Women Entrepreneurs is a program of the U.S. Department of State, using a hybrid model that combines online learning with in-class mentoring and facilitation. The program in South Africa is centered on the Francis and Dionne Najafi 100 Million Learners Global Initiative, an online course spearheaded by the Thunderbird School of Global Management at Arizona State University.Applicants for this notice of funding opportunity will support cohorts of women entrepreneurs in up to seven cities â€“ five in South Africa and one each in Lesotho and Eswatini. The cohorts will attend virtual, hybrid, and in-person events at American Spaces or Embassy partner locations in each city.For participation in the Najafi 100 Million Learners course, the applicant will work with the U.S. Embassy to identify an in-person U.S. government program alumni facilitator in each city to lead the participants. The coursework features eighteen modules/themes key to global entrepreneurial success in the Fourth Industrial Revolution. The program aims to provide entrepreneurs with proven 21st Century strategies for creating value through innovation in existing enterprises across the private, nonprofit and public sectors.Facilitators will also lead in-person discussions and serve as mentors for program participants. Facilitators will be alumni of related U.S. government programs and will be selected in collaboration with the U.S. Embassy or Consulate General. Facilitators will attend a pre-program training and orientation provided by the U.S. Department of Stateâ€™s Bureau of Educational and Cultural Affairs.The eventual implementing partner will need to run program launch, pitch and graduation events. These sessions are to be held in-person. The implementing partner will also work in collaboration with the U.S. Embassy to host online masterclasses led by industry experts.</t>
  </si>
  <si>
    <t>2025 Fulbright South Africa Exchange Program Logistics Management</t>
  </si>
  <si>
    <t>Others (see text field entitled "Additional Information on Eligibility" for clarification)  	Not-for-profit organizations, including think tanks and civil society/non-governmental organizations _x000D_
 	Public and private educational institutions</t>
  </si>
  <si>
    <t>The grantee will work cooperatively with the Public Affairs Sections at the U.S. Embassy in Pretoria and Consulates General in Cape Town, Durban, and Johannesburg to manage the in-country logistics for participants in the South African Fulbright Foreign Student Program and the Fulbright Research Scholar Program. Please carefully read the specific logistics requirements and note the award start date, duration, and funding limit. 
FULBRIGHT PROGRAMS 2025-2026:
Fulbright Foreign Student Program â€“ South African Fulbright Students pursue PhD research, a masterâ€™s degree, or PhD qualification at U.S. higher education institutions. Scholarships provide funding for up to two years of study. Annually, Mission South Africa selects a cohort of 20 students.
Fulbright Visiting Research Scholar Program â€“ Under this program, South African scholars and academics conduct independent post-doctoral research at U.S. academic or research institutions for three to nine months. Annually, Mission South Africa selects a cohort of 10 scholars.
ï»¿
Priority Region: Project activities will take place nationally across South Africa, as determined by the location of Fulbright participants.</t>
  </si>
  <si>
    <t>Office of Electricity (OE) and the Office of Energy Efficiency and Renewable Energy s Wind Energy Technologies Office (EERE WETO)</t>
  </si>
  <si>
    <t>Unrestricted (i.e., open to any type of entity above), subject to any clarification in text field entitled "Additional Information on Eligibility" This is a full and open competition available to the following applicants:
1.	Domestic Entities
2.	Incorporated Consortia
3.	Unincorporated Consortia
4.	Federally Funded Research and Development Center (FFRDC) Contractors are excluded as a prime.  However, FFRDC contractors may be proposed as a team member on another entity's application subject to guidelines.</t>
  </si>
  <si>
    <t>Renewable Integration Management with Innovative High Voltage Direct Current Power Circuit Breakers (REIMAGINE BREAKERS). Developing standards for High Voltage Direct Current Circuit Breakers (HV DCCB) will support the protection and interoperability of hardware within Multi-Terminal HVDC (MTDC) transmission systems and allow for seamless interconnection and coordination of HV DCCBs into existing high voltage AC &amp; DC transmission systems. Standardization will provide key stakeholders with guidance to ensure all HV DCCBs developed are compatible with existing and future transmission networks. Additionally, the advancement of HV DCCB designs will aid in the development of novel ideas to reduce overall cost and footprint of the technology.</t>
  </si>
  <si>
    <t>2025 Alumni Engagement Innovation Fund</t>
  </si>
  <si>
    <t>DOS-IND</t>
  </si>
  <si>
    <t>U.S. Mission to India</t>
  </si>
  <si>
    <t>Others (see text field entitled "Additional Information on Eligibility" for clarification) 1.  Applicants must be alumni of U.S. government-funded or sponsored exchange programs listed here, and form teams of at least two (2) alumni.  All teams must specify a team lead.  For those teams selecting an Indo-Pacific focus, you may include team members from other Indo-Pacific countries.  
2.  Proposals must address the themes outlined.  Proposals that do not address the themes as outlined in the program objectives will be deemed ineligible. 
3.  All project activities must take place outside of the United States and its territories.
4.  All alumni teams will need to partner with a legally recognized, non-profit, non-governmental organizations that meets the technical and legal requirements stated by the U.S. and the Indian government (i.e. FCRA, U.S. mandated Unique Entity Identifier and System for Award Management (SAM.gov.) If you have any questions, please contact us.   
5.  If approved, an MoU will be signed between the alumni team and recipient organization.</t>
  </si>
  <si>
    <t>The Embassy of the United States in New Delhi announces an open competition for past participants (alumni) of U.S. government-funded and U.S. government-sponsored exchange programs to submit applications to the 2025 Alumni Engagement Innovation Fund (AEIF 2025).  We seek proposals from teams of at least two alumni that meet all program eligibility requirements below.</t>
  </si>
  <si>
    <t>Academy of Women Entrepreneurs Mauritius 2025</t>
  </si>
  <si>
    <t>DOS-MUS</t>
  </si>
  <si>
    <t>U.S. Mission to Mauritius</t>
  </si>
  <si>
    <t>Others (see text field entitled "Additional Information on Eligibility" for clarification) Registered not-for-profit organizations, including think tanks and civil society/non-governmental organizations with programming experienceNon-profit or governmental educational institutions.</t>
  </si>
  <si>
    <t>A. PROGRAM DESCRIPTION 
 The U.S. Embassy in Port Louis, Mauritius announces an open competition for non-profit organizations to submit applications to lead a program for women entrepreneurs through the U.S. State Departmentâ€™s Academy for Women Entrepreneurs (AWE) program in Mauritius. Please follow all instructions below. 
Program Objectives:  
The U.S. State Departmentâ€™s Bureau of Educational and Cultural Affairs (ECA) established the Academy for Women Entrepreneurs (AWE) an exchange program in 2019 to empower women with the professional skills, networks, and they need to launch or scale successful businesses.  
Implemented in nearly 100 countries since 2019, AWE has empowered an estimated 25,000 women entrepreneurs around the world with the professional business skills they need to reach their full economic potential. The AWE program was implemented in 2021 in Mauritius. 
As a U.S. government exchange program, AWE connects women with U.S.-style learning and expertise to advance business acumen and build stronger ties among women entrepreneurs in different markets.  
The AWE program partners with Arizona State Universityâ€™s Thunderbird School of Global Management (ASU) and the Freeport-McMoRan Foundation, the creators of DreamBuilder, a no-cost online learning platform that teaches AWE participants the fundamentals of business from a U.S. perspective. In 2023, the Department and ASU established a new five-year, public-private partnership to also offer AWE participants advanced courses through the Francis and Dionne Najafi 100 Million Learners Global Initiative.  
In addition, by networking with local business leaders and U.S. Exchange Alumni, the AWE program includes localized content specific to entrepreneursâ€™ needs.  
ECAâ€™s Office of Academic Programs manages the AWE program and supports U.S. Missions worldwide to leverage the power of local U.S.-governmentâ€¯Exchange Alumni networks to serve as facilitators, guest speakers, and mentors for the AWE program. Learn more at https://eca.state.gov/awe. 
The project will include the following objectives: 
â€¢ Develop a program aimed at increasing entrepreneurial capacity of AWE beneficiaries that will integrate the DreamBuilder (dreambuilder.org) online course or the Najafi 100 Million Learners Global Initiative as one of its key components. The program will encompass facilitated viewing sessions that will provide the participants an opportunity to discuss the topics and to network. The modules may be augmented to localize the context, and to accommodate the topics of guest speaker talks. 
â€¢ Identify a facilitator(s) to lead discussions, help localize the principles taught and engage in speed mentoring, influencer talks, pitch competitions or trade fairs for women to apply business skills in real-time. 
â€¢ Create an educational cohort and recruit 25-35 women aged 25 or older to engage in U.S.-style online education with guided facilitation. The awardee will promote the call for participants through traditional and/or social media platforms and organizational networks that would maximize the number of women reached. In consultation with the awarding agency, the awardee will determine additional selection criteria beyond the basic eligibility parameters and devise an application form. The awardee will review and pre-select program participants and in close collaboration with the U.S. Embassy will organize and conduct final interviews to select the participants. 
â€¢ Foster networks that support participantsâ€™ access to peer-to-peer mentorship, business partners, and scaling opportunities with business in the region. 
The project has the following goal: 
Provide the selected women entrepreneurs with the skills, resources, and networks needed to start and scale successful businesses. 
Participants and Audiences: 
The target audience for this project are Mauritian, Rodriguan and Seychellois women, aged 25 and older who have recently started a business and have about a year experience selling their product or service. Participants should have basic computer skills and have minimal previous business training. 
B. FEDERAL AWARD INFORMATION 
Length of performance period: 1 year 
Number of awards anticipated: 1 award  
Award Floor: $17,000 
Award Ceiling: $25,000 
Type of Funding: FY25 Smith Mundt Public Diplomacy Funds  
Anticipated program start date: May 2025 
This notice is subject to availability of funding.</t>
  </si>
  <si>
    <t>Alumni Engagement Innovation Fund 2025 - Mauritius</t>
  </si>
  <si>
    <t>Others (see text field entitled "Additional Information on Eligibility" for clarification) Applicants must be alumni of a U.S. government-funded or sponsored exchange program (https://alumni.state.gov/list-exchange-programs) or a U.S. government-sponsored exchange program  (https://j1visa.state.gov/).  Projects teams must include teams of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or alumni associations of USG exchange alumni. Not-for-profit, non-governmental organizations, think tanks, and academic institutions are not eligible to apply in the name of the organization but can serve as partners for implementing project activities.</t>
  </si>
  <si>
    <t>The Embassy of the United States in Mauritius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PortLouis_PAS@state.gov by January 31, 2025.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in prioritizing initiatives that aim promote democracy and transparency, entrepreneurship, education and English, sustainable resources, and media and civil society capacity building.</t>
  </si>
  <si>
    <t>Advancing Strategies to Deliver and Sustain Evidence-Based Chronic Disease Self-Management Education Programs to Support Older Adult Behavioral Health</t>
  </si>
  <si>
    <t>County governments Foreign entities are not eligible to compete for, or receive, awards made under this announcement. Faith-based and community organizations that meet the eligibility requirements are eligible to receive awards under this funding opportunity announcement.</t>
  </si>
  <si>
    <t>The purpose of this funding opportunity is to develop and implement multi-faceted strategies that support the delivery and sustainability of evidence-based chronic disease self-management education (CDSME) programs for older adults (age 60 and older) and individuals with disabilities with one or more behavioral health conditions and older adults and individuals with disabilities with one or more stressors that are negatively impacting their behavioral health through a statewide initiative. The two primary goals are:                                                                                                          Goal 1: Through a statewide initiative, develop capacity (e.g., instructors, partnerships, and referral networks) to increase the number of older adults and adults with disabilities in the target population who participate in evidence-based chronic disease self-management education (CDSME) and support programs.Goal 2: Develop and disseminate 508-compliant resources specific to your grant learnings to enhance knowledge in serving the target population and aid in the sustainability of programs.Successful applicants will also be expected to (a) Increase the number of individuals who participate in evidence-based CDSME programs, while reaching the grantâ€™s target population; (b) Increase partnerships and collaboration between the Aging and Disability Services Network, behavioral health providers, and other key organizations; and (c) Increase the knowledge of the field by developing and disseminating resources and learnings from your grant for other organizations to replicate similar projects in their communities.The Administration on Aging (AoA), part of the Administration for Community Living (ACL), plans to award 5 cooperative agreements with a three-year project period, subject to availability of funds.</t>
  </si>
  <si>
    <t>U.S. Ambassadors Fund for Cultural Preservation (AFCP) 2025 Grants Program</t>
  </si>
  <si>
    <t>Others (see text field entitled "Additional Information on Eligibility" for clarification) Only these types of organizations may apply:  Foreign Institutions of Higher Education  Foreign-Based Non-Governmental Organizations (NGOs)  Foreign Public Entities (where permitted)  Public International Organizations and Governmental Institutions  U.S. Institutions of Higher Education  U.S. Non-Profit Organizations (IRS section 501(c)(3))</t>
  </si>
  <si>
    <t>The U.S. Ambassadors Fund for Cultural Preservation (AFCP) helps protect historic buildings, archaeological sites, museum collections, and traditional cultural expressions like indigenous languages and crafts around the world.Goals and objectivesThe U.S. Ambassadors Fund for Cultural Preservation (AFCP) helps protect historic buildings, archaeological sites, museum collections, and traditional cultural expressions like indigenous languages and crafts around the world.Desired activitiesÂ· Anastylosis: Reassembling a site using its original parts.Â· Conservation: Treating or otherwise addressing damage or deterioration to an object or site.Â· Consolidation: Reconnecting elements of an object or site.Â· Documentation: Recording the condition and important features of an object, site, or tradition in analog or digital format.Â· Inventory: Listing objects, sites, or traditions by location, feature, age, or other unifying characteristics.Â· Preventive Conservation: Addressing conditions that threaten or damage a site, object, collection, or tradition.Â· Restoration: Replacing missing elements to recreate the original appearance of an object or site, usually appropriate for fine arts, decorative arts, and historic buildings.Â· Stabilization: Reducing the physical disturbance or increasing the stability of an object or site.Participants and audiencesLocal communities, government agencies, educational institutions, tourists, and others interested in cultural heritage and its preservationSubstantial involvementAn AFCP award may be a cooperative agreement with substantial involvement that may include, but is not limited to, the selection or approval of project participants, subjects, or courses of action.Ineligible activities and unallowable costsAFCP does not support the following activities or costs, and applications requesting AFCP support for any of these activities or costs will be deemed ineligible:Â· Privately or Commercially Owned Property: Preservation or purchase of privately orcommercially owned cultural objects, collections, or real property, including those whose transfer from private or commercial to public ownership is envisioned, planned, or in process but not complete at the time of application.Â· Natural Heritage: Preservation of natural heritage (physical, biological, and geologicalformations, paleontological collections, habitats of threatened species of animals and plants, fossils, etc.) unless the natural heritage has a cultural heritage connection or dimension.Â· Human Remains: Preservation of Hominid or human remains.Â· News Media: Preservation of news media (newspapers, newsreels, radio and TV programs, etc.).Â· Published Materials: Preservation of published materials available elsewhere (books, periodicals, etc.).Â· Mandated Educational Materials: Development of curricula or educational materials for required classroom use.Â· Archaeological Research: Archaeological excavations or exploratory surveys for research purposes.Â· Historical Research: Historical research, except in cases where the research is justifiable and integral to the success of the proposed project.Â· New Exhibits or Collections: Acquisition or creation of new exhibits, objects, or collections for new or existing museums.Â· New Construction: Construction of new buildings, building additions, or permanent coverings (over archaeological sites, for example).Â· New Works of Art: Commissions of new works of art or architecture for commemorative or economic development purposes.Â· New or Modern Adaptations: Creation of new or modern adaptation of existing traditional dances, songs, chants, musical compositions, plays, or other performances.Â· Conjectural Reconstructions: Creation of conjectural reconstructions of cultural objects or sites that no longer exist.Â· Relocation: Relocation of cultural sites from one physical location to another unless under imminent threat of irreversible damage or destruction.Â· Removal: Removal of cultural objects or elements of cultural sites from the country for any reason.Â· Digitization: Digitization of cultural objects or collections, unless part of a clearly defined conservation, documentation, or PD effort.Â· Conservation Plans or Studies: Conservation plans or other studies, unless they are one component of a larger project to implement the results of those studies.Â· Cash Reserves or Endowments: Cash reserves, endowments, or revolving funds (funds must be expended within the award period [up to five years] and may not be used to create an endowment or revolving fund).Â· Fund-Raising Campaigns: Costs of fund-raising campaigns.Â· Contingency Costs: Contingency, unforeseen, or miscellaneous costs.Â· Pre-Award Costs: Costs of work performed prior to the announcement of the award unless allowable per 2 CFR 200.458 and approved by the Grants Officer.Â· International Travel: International travel outside the project country, except in cases where travel is justifiable and integral to the success of the proposed project or to provide project leaders with learning and exchange opportunities with cultural heritage experts.Â· Project Cost Limits: Individual projects which cost less than US $25,000 or more than $500,000.Â· Independent U.S. Projects: Independent U.S. projects overseas.</t>
  </si>
  <si>
    <t>Transformative Research to Address Health Disparities and Advance Health Equity (U01 Clinical Trial Optional)</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</si>
  <si>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t>
  </si>
  <si>
    <t>The Transformative Research to Address Health Disparities and Advance Health Equity initiative is soliciting applications to support unusually innovative intervention research addressing social determinants of health (SDOH) which, if successful, would have a major impact on preventing, reducing, or eliminating health disparities and advancing health equity. Projects should clearly demonstrate, based on the strength of the logic, a compelling potential to produce a major impact on advancing NIHs commitment to addressing SDOH to accelerate progress in improving health for all. Preliminary data are not required for this initiative.</t>
  </si>
  <si>
    <t>USAID Community Health Activity</t>
  </si>
  <si>
    <t>Others (see text field entitled "Additional Information on Eligibility" for clarification) Eligibility for this award is restricted to local Nigerian organizations.</t>
  </si>
  <si>
    <t>The USAID Community Health Activity will support priority populations and communities, community organizations and networks, and public- or private-sector actors that work in partnership with civil society at the community level, in the design, delivery, monitoring and evaluation of activities aimed at achieving the purpose of increasing the adoption and sustained uptake of priority health behaviors, services, and products.</t>
  </si>
  <si>
    <t>FY25 IIJA/IRA Bureau of Land Management Headquarters (HQ) Wildlife Program</t>
  </si>
  <si>
    <t>The BLM Headquarters Wildlife Program advances the Department of the Interior's priorities to address the climate crisis, restore balance on public lands and waters, advance environmental justice, and invest in a clean energy future. Specific BLM Headquarters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Headquarters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</si>
  <si>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FY25 IIJA/IRA Bureau of Land Management Headquarters  (HQ) Threatened and Endangered Species Program</t>
  </si>
  <si>
    <t>The BLM Headquarters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Headquarters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</si>
  <si>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2025 TIP Office Notification of Funding Opportunity   Statement of Interest, PEMS</t>
  </si>
  <si>
    <t>DOS-GTIP</t>
  </si>
  <si>
    <t>Office to Monitor-Combat Trafficking in Persons</t>
  </si>
  <si>
    <t>Others (see text field entitled "Additional Information on Eligibility" for clarification) The TIP Office encourages applications from the following entities:   U.S.-based and Foreign-based Non-Profit   For-Profit Organization   Institution of Higher Education   Non-Governmental Organization (NGO)   Public International Organization (PIO). Applications submitted by for-profit entities may be subject to additional review following the panel selection process. Additionally, the Department of State prohibits profit to for-profit or commercial organizations under its assistance awards. While foreign governments are not eligible to apply, governments may be beneficiaries of programs if funding does not pay salaries of government agency personnel and that such assistance is not restricted by U.S. law or policy. Please refer to the NOFO for full eligibility information.</t>
  </si>
  <si>
    <t>The Department of Stateâ€™s Office to Monitor and Combat Trafficking in Persons (TIP Office) is pleased to invite organizations to submit Statements of Interest (SOIs) for projects aimed at validating promising intervention approaches under the Program to End Modern Slavery (PEMS).</t>
  </si>
  <si>
    <t>NOFO: DE-FOA-0003373, Bipartisan Infrastructure Law (BIL), Provision 41007 (b)(2), Wind Turbine Technology Recycling</t>
  </si>
  <si>
    <t>NOFO: DE-FOA-0003373, Bipartisan Infrastructure Law (BIL), Provision 41007 (b)(2), Wind Turbine Technology Recycling
The activities to be funded under this NOFO support BIL sections 41007(b)(2) and the broader government-wide approach to strengthen critical domestic manufacturing and supply chains and to maximize the benefits of the clean energy transition as the nation works to curb the climate crisis, empower workers, and advance environmental justice. This BIL section, through reference to section 3003(b)(4) of the Energy Act of 2020, addresses:
â€¢	Research and development projects to create innovative and practical approaches to increase the reuse and recycling of wind energy technologies, includingâ€”
â€¢	by increasing the efficiency and cost effectiveness of the recovery of raw materials from wind energy technology components and systems
â€¢	by minimizing potential environmental impacts from the recovery and disposal processes;
â€¢	by advancing technologies and processes for the disassembly and recycling of wind energy devices;
â€¢	by developing alternative materials, designs, manufacturing processes, and other aspects of wind energy technologies and the disassembly and resource recovery process that enable efficient, cost effective, and environmentally responsible disassembly of, and resource recovery from, wind energy technologies; and
â€¢	strategies to increase consumer acceptance of, and participation in, the recycling of wind energy technologies
To view the NOFO, visit EERE Exchange at https://eere-exchange.energy.gov</t>
  </si>
  <si>
    <t>FY25 IIJA/IRA Bureau of Land Management Headquarters (HQ) Aquatic Resource Management</t>
  </si>
  <si>
    <t>Nonprofits having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</si>
  <si>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Managementâ€™s (BLM) Headquarters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Headquarters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Headquarters Aquatic Resources Program continues to advance the Department of the Interior's priorities to address the climate crisis, restore balance on public lands and waters, advance environmental justice, and invest in a clean energy future. The BLM Headquarters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t>
  </si>
  <si>
    <t>Organic Agriculture Research and Extension Initiative</t>
  </si>
  <si>
    <t>Others (see text field entitled "Additional Information on Eligibility" for clarification) Eligibility Requirements_x000D_
_x000D_
Applications may only be submitted by the following entities:_x000D_
1.	State agricultural experiment stations;_x000D_
2.	Colleges and universities;_x000D_
3.	University research foundations;_x000D_
4.	Other research institutions and organizations;_x000D_
5.	Federal agencies;_x000D_
6.	National laboratories;_x000D_
7.	Private organizations, foundations, or corporations;_x000D_
8.	Individuals who are United States citizens or nationals; or_x000D_
9.	A group consisting of two or more of the entities described in subparagraphs (1) through (8).</t>
  </si>
  <si>
    <t>The Organic Agriculture Research and Extension Initiative (OREI) seeks to solve critical organic agriculture issues, priorities, or problems through the integration of research, education, and extension activities. The purpose of this program is to fund projects that will enhance the ability of producers and processors who have already adopted organic standards to grow and market high quality organic agricultural products. Priority concerns include biological, physical, and social sciences, including economics. The OREI is particularly interested in projects that emphasize research, education and outreach that assist farmers and ranchers with whole farm planning by delivering practical research-based information. Projects should plan to deliver applied production information to producers. Fieldwork must be done on certified organic land or on land in transition to organic certification, as appropriate to project goals and objectives. Refer to the USDA National Organic Program for organic production standards.</t>
  </si>
  <si>
    <t>FY25 IIJA/IRA Bureau of Land Management Headquarters (HQ) Rangeland Resource Management</t>
  </si>
  <si>
    <t>Data Integration, Systems, and Quality Technical Assistance (DISQ)</t>
  </si>
  <si>
    <t>County governments These types of domestic* organizations may apply: Public institutions of higher education, including academic health science centers involved in HIV-related issues on a national scope. Private institutions of higher education, including academic health science centers involved in HIV-related issues on a national scope. Non-profit organizations. State governments, including the District of Columbia, domestic territories, and freely associated states. County governments. City or township governments. Special district governments.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</si>
  <si>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Ryan White HIV/AIDS Program (RWHAP) Data Integration, Systems, and Quality Technical Assistance (DISQ) is a national training and technical assistance (T/TA) program to support RWHAP recipients and subrecipients. It funds activities to increase access to high-quality HIV care and support services for low-income people with HIV in the United States.
 The DISQ program develops and disseminates T/TA to help RWHAP recipients and subrecipients develop and implement data collection activities related to HIV care. This program will improve RWHAP recipientsâ€™ and subrecipientsâ€™ capacity to meet data-related program requirements and help them use data to make their programs more efficient and effective.
 We will award one cooperative agreement to a technical assistance provider. This provider will be responsible for on-site and virtual T/TA to RWHAP recipients and subrecipients.</t>
  </si>
  <si>
    <t>Systems Biology Research to Advance Bioenergy Crop Production</t>
  </si>
  <si>
    <t>PAMS-SC</t>
  </si>
  <si>
    <t>Office of Science</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</si>
  <si>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1. DOE/National Nuclear Security Administration (NNSA) National Laboratories_x000D_
_x000D_
DOE/NNSA National Laboratories are not eligible to submit applications under this NOFO but may be proposed as subrecipients under another organization s application. If recommended for funding as a proposed subrecipient, the value of the proposed subaward will be removed from the prime applicant s award and will be provided to the laboratory through the DOE Field-Work Proposal System and work will be conducted under the laboratory s contract with DOE. No administrative provisions of this NOFO will apply to the laboratory or any laboratory subcontractor. Additional instructions for securing authorization from the cognizant Contracting Officer are found in Section IX of this NOFO._x000D_
_x000D_
2. Non-DOE/NNSA Funded Research and Development Centers (FFRDC)_x000D_
_x000D_
Non-DOE/NNSA FFRDCs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Additional instructions for providing statutory authorization are found in Section IX of this NOFO.</t>
  </si>
  <si>
    <t>The DOE SC program in Biological and Environmental Research (BER) announces it is receiving applications for research within the Biological Systems Science Divisionâ€™s (BSSD) Genomic Science Program (GSP) (https://genomicscience.energy.gov) mission-space. In this NOFO, applications are requested for:  
Â· Systems-level research to improve understanding of the molecular mechanisms underlying bioenergy feedstock productivity under changing and at times suboptimal environmental conditions, 
Â· Systems biology-enabled investigations into the role(s) of microbes and microbial communities (including rhizosphere consortia, e.g. bacteria, fungi, diazotrophs, endophytes, viruses) in supporting plant productivity and vigor are also solicited. 
SUPPLEMENTARY INFORMATION 
Two areas vital to the Nationâ€™s energy and environmental security motivate the BER research agenda: developing cost-effective biofuels and bioproducts and improving our ability to understand, predict, and mitigate the impacts of energy production in the face of a variable environment. BER has invested in plant and plant-microbe interactions research with the goal of advancing production of biofuels/bioproducts from domestic lignocellulosic and oilseed crop sources. These efforts have increased our understanding of the biological mechanisms underlying feedstock productivity and facilitated development of next- generation bioenergy crops that utilize novel, efficient bioenergy strategies that can be replicated on a mass scale. However, several knowledge gaps and challenges remain towards attaining the goal of developing vigorous crops with superior growth and yield under varying environmental conditions. A better understanding of the underlying genetic and physiological mechanisms influencing plant productivity, resource use efficiency, and adaptation and resilience to abiotic stress are needed. Also of interest is how beneficial plant-microbe associations may enhance requisite plant processes to enable manipulation of these associations for improving plant traits. Furthermore, available computational technologies and infrastructure may provide opportunities to connect and integrate information across multiple spatial and temporal scales to better understand the behavior of complex biological systems and to develop a predictive understanding of sustainability outcomes over a range of future climate scenarios [U.S. DOE.2014. Research for Sustainable Bioenergy: Linking Genomic and Ecosystem Sciences, Workshop Report, DOE/SC-0167. U.S. Department of Energy, Office of Science. https://www.genomicscience.energy.gov/research-for-sustainable-bioenergy-linking-genomic-and-ecosystem-sciences/]. 
DOE-BERâ€™s GSP (https://genomicscience.energy.gov/) supports fundamental research to identify the basic principles that drive biological systems. These principles govern translation of the genetic code into integrated networks of proteins, enzymes, regulatory elements, and metabolite pools underlying the functional processes of organisms. The Genomic Science program aims to support the DOEâ€™s bioenergy development mission by leveraging omics-driven tools and systems biology approaches to address key challenges facing the sustainable production of bioenergy crops as an economically and environmentally viable alternative resource for fuels, chemicals, and products currently produced from fossil fuel resources. This NOFO aims to build upon the advances made since previous BER investments in this area, seeking to apply systems biology and omics technologies to map the complex networks and molecular mechanisms of bioenergy crop growth, development, and metabolism for sustainable and resilient bioenergy crop production. Understanding the multi-organismal â€œbiofuel crop+soil+microbe ecosystemâ€ presents a unique challenge, which is further complicated by environmental impacts. The ability to predict plant and microbial speciesâ€™ responses to a changing environment will be critical to understanding potential environmental impacts as well as for optimizing feedstock production.  
Applications are solicited for systems biology-driven basic research on the fundamental principles of bioenergy crop production in relationship to the associated environmental context. Species of interest include but are not limited to candidate bioenergy plants (e.g., sorghum, energy cane, Miscanthus, switchgrass, Populus) and non-food oilseed crops (e.g., Camelina). Proposed projects should be hypothesis-driven and focus on understanding productivity and the effects of abiotic stresses and nutrient availability. Such deep understanding will enable the development of bioenergy crops that are tolerant to environmental stressors, require less agronomic inputs, and are resilient and/or adaptable to varying environmental conditions.</t>
  </si>
  <si>
    <t>Chemical Evolution of the Solid Earth and Volcanology</t>
  </si>
  <si>
    <t>The Chemical Evolution of the Solid Earth and Volcanology (CESEV) program aims to advance fundamental knowledge about the origin and evolution of our home planet including its core, mantle, and continental crust. The program encourages a wide range of laboratory, field, experimental, theoretical, and/or computational studies that explore the continuous high-temperature igneous and metamorphic geochemical and petrologic processes that shape the Earth. Volcanology and magmatic processes, ore deposits and economic geology, and geochronology are all in the purview of this program. Research in these areas can help improve our understanding of volcanic and other natural hazards, and the distribution of mineral and other natural resources.</t>
  </si>
  <si>
    <t>2025 U.S.- Philippines Entry to the Alumni Engagement Innovation Fund (AEIF) Competition</t>
  </si>
  <si>
    <t>DOS-PHL</t>
  </si>
  <si>
    <t>U.S. Mission to the Philippines</t>
  </si>
  <si>
    <t>Others (see text field entitled "Additional Information on Eligibility" for clarification) Applicants must be organizations led by an alumnus/alumna of a U.S. government-funded exchange program (https://alumni.state.gov/list-exchange-programs), or a U.S. government-sponsored exchange program (https://j1visa.state.gov/). Only the lead applicant is required to be a member of the applying organization. Project teams are encouraged to invite alumni from different exchange programs to be part of the project, as volunteers, speakers, facilitators, etc.Alumni who are U.S. citizens may not submit proposals, but U.S. citizen alumni may participate as team members in a project. Application must be submitted by an alumnus/alumna. A non-alum staff member of the applying organization cannot submit the application.</t>
  </si>
  <si>
    <t>PROGRAM DESCRIPTION:The Public Affairs Section (PAS) of the U.S. Embassy in the Philippines announces an open competition for past participants (â€œalumâ€ or â€œalumniâ€) of U.S. government-funded and U.S. government-sponsored exchange programs to submit applications to the 2025 U.S.- Philippines Alumni Engagement Innovation Fund (AEIF 2025).AEIF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competition.This year PAS will accept public service projects proposed and managed by teams of at least two (2) alumni that support one or more of the following themes:â€¢ Peace and Security     o Conflict Mediation and Resolution     o Resilience to ongoing and emerging security threats     o Nonviolent Advocacyâ€¢ Economic Prosperity     o Digital literacy     o Establishing Public-Private Partnerships     o Social Entrepreneurshipâ€¢ Organizational Capacity Building for Alumni Engagement     o Proposal writing     o Organizational management     o Budgeting/Financial managementâ€¢ Proposals that do not address the theme as outlined in the program objectives will be deemed ineligible. All project activities must take place within the Philippines.</t>
  </si>
  <si>
    <t>Bringing Youth Outdoors Together and Environmental Steward Program</t>
  </si>
  <si>
    <t>County governments See attached document.</t>
  </si>
  <si>
    <t>The Bringing Youth Outdoors Together and Environmental Program focus on youth development, recreation, service, social and environmental responsibility, and healthy living that emphasizes the value and significance of natural and cultural resources in nearby parks and communities. The program provides young people--particularly youth from underserved communities in urban, rural, military, and native settings -- with outdoor experiences and excursions to their local national park.</t>
  </si>
  <si>
    <t>Complement-ARIE New Approach Methodologies (NAMs) Technology Development Centers (UM1 Clinical Trial Optional)</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</si>
  <si>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</si>
  <si>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purpose of this Notice of Funding Opportunity (NOFO) is to establish Comprehensive NAMs Technology Development Centers to support NIH Common Funds Complement Animal Research In Experimentation (Complement-ARIE) program. The Complement-ARIE program will accelerate the development, standardization, validation, and use of human-based New Approach Methodologies (NAMs). Complement-ARIE will significantly advance understanding of human health and disease by providing a range of mature and/or validated and standardized biomedical research models.
The goal of the Comprehensive NAMs Technology Development Centers is to stimulate the development of combinatorial NAMs to support scientific areas of need, with emphasis on increased biological complexity and throughput, innovative combinatorial approaches, and data sharing according to FAIR principles. Developing these NAMs will require multi-disciplinary expertise in disease research, personalized medicine, screening therapeutics for safety and efficacy, and regulatory science.</t>
  </si>
  <si>
    <t>WaterSMART Aquatic Ecosystem Restoration Projects for Fiscal Year (FY) 2025 and 2026</t>
  </si>
  <si>
    <t>Others (see text field entitled "Additional Information on Eligibility" for clarification) Eligible Category A Applicants States, Tribes, irrigation districts, or water districts; State, regional, or local authorities, the members of which include one or more organizations with water or power delivery authority; Agencies established under State law for the joint exercise of powers; Other entities or organizations that own a facility that is eligible for upgrade, modification, or removal. All applicants must be located in the Western United States or Territories as identified in the Reclamation Act of June 17, 1902, as amended and supplemented; specifically: Arizona, California, Colorado, Idaho, Kansas, Montana, Nebraska, Nevada, New Mexico, North Dakota, Oklahoma, Oregon, South Dakota, Texas, Utah, Washington, Wyoming, American Samoa, Guam, the Northern Mariana Islands, the U.S. Virgin Islands. Eligible Category B Applicants: Nonprofit conservation organizations that are acting in partnership with, and with the agreement of an entity described in Category A, with respect to a project involving land or infrastructure owned by the Category A entity. All Category B applicants must be located in the United States, or the specific Territories identified above. Category B applicants should include with their application a letter from the Category A partner stating that the Category A partner: Is acting in partnership with the applicant; Agrees to the submittal and content of the application; and intends to participate in the project in some way, for example, by providing input, feedback, or other support for the project.</t>
  </si>
  <si>
    <t>The U.S. Department of the Interiorâ€™s (Department) Aquatic Ecosystem Restoration Projects (AERP) provides a framework for Federal leadership and assistance to restore and protect aquatic ecosystems in support of the Departmentâ€™s priorities. Through AERP, the Bureau of Reclamation (Reclamation) leverages Federal and non-Federal funding to work cooperatively with States, Tribes, and other entities as they study, design and construct aquatic ecosystem restoration projects that are collaboratively developed, have widespread regional benefits, and result in an improvement to the health of fisheries, wildlife, and aquatic habitat through restoration or improved fish passage. Restoring and connecting aquatic ecosystems offers wide-ranging benefits for both communities and the environment. Functioning aquatic and wetland ecosystems provide essential habitat for fish and wildlife, improve water quality, store excess carbon, help mitigate the impacts of drought and flood events, and support water supply resiliency for multiple uses.</t>
  </si>
  <si>
    <t>AIDS Education and Training Center National Clinician Consultation Center</t>
  </si>
  <si>
    <t>Nonprofits that do not have a 501(c)(3) status with the IRS, other than institutions of higher education You can apply if your organization is in the United States, the Commonwealth of Puerto Rico, the Northern Mariana Islands, American Samoa, Guam, the U.S. Virgin Islands, the Federated States of Micronesia, the Republic of the Marshall Islands, or the Republic of Palau.</t>
  </si>
  <si>
    <t>The purpose of the NCCC program is to provide rapid, expert, and culturally competent clinical consultation and advice to health care team members on a wide range of HIV and HIV-related topics. The NCCC, using a combination of various funding sources, provides services through telephone-based warmlines, a hotline, and internet-based educational consultation services in the following clinical areas:
 â€¢
 General HIV prevention, care, and treatment, including diagnosis, testing, and antiretroviral therapy.
 â€¢
 Pre-exposure prophylaxis (PrEP).
 â€¢
 Post-exposure prophylaxis (PEP).
 â€¢
 Treatment and management of Hepatitis B and C and HIV coinfections.
 â€¢
 Treatment and management of substance use disorders in people with or at risk for HIV.
 â€¢
 Perinatal HIV care and management.
 The NCCC provides expert consultation that demonstrates an understanding of the HIV epidemic in a variety of locations including:
 â€¢
 EHE jurisdictions.
 â€¢
 Rural areas.
 â€¢
 Areas disproportionately impacted by substance use disorders including opioid use disorder, and other co-morbidities.
 â€¢
 Communities where a large number of the people with HIV identify as a non-white racial or ethnic group.
 The goals for the NCCC align with those of the RWHAP Part F AETC Program, which are:
 â€¢
 Goal 1: Expand the number of health care team members providing HIV care and prevention services, including providers with different backgrounds or experiences.
 â€¢
 Goal 2: Expand the ability of health care team members to provide effective HIV care and prevention services.
 â€¢
 Goal 3: Improve health equity by integrating HIV care and prevention in primary care and other health care settings that provide services to underserved populations.
 â€¢
 Goal 4: Enhance the capacity of the AETC Program to train health care team members to serve people at risk for or with HIV.</t>
  </si>
  <si>
    <t>Ryan White HIV/AIDS Program Part D - Women, Infants, Children and Youth (WICY) Grant Supplemental Funding</t>
  </si>
  <si>
    <t>Others (see text field entitled "Additional Information on Eligibility" for clarification) You can apply if you are a current recipient funded under the following: HRSA-22-037 Ryan White HIV/AIDS Program Part D, Coordinated HIV Services and Access to Research for Women, Infants, Children, and Youth (WICY) Existing Geographic Service Areas HRSA-22-156 Ryan White HIV/AIDS Program Part D, Coordinated HIV Services and Access to Research for Women, Infants, Children, and Youth (WICY) Limited Existing Geographic Service Areas</t>
  </si>
  <si>
    <t>The purpose of this additional funding is to increase access to high quality family-centered HIV health care services for low-income women, infants, children, and youth, commonly abbreviated as WICY. HRSA intends funding under this program to support one short-term activity that can be completed by the end of the one-year period of performance. You may propose an expansion of an activity previously supported under the FY2023 or FY2024 RWHAP Part D Supplemental funding (HRSA-23-050; HRSA-24-061) or Part C Capacity Development funding (HRSA-23-052; HRSA-24-062) for either an HIV Care Innovation or Infrastructure Development activity; however, HRSA will not fund the same activity in FY 2025 as HRSA funded previously in FY 2023 or FY 2024. If the proposed project is an expansion of a previously funded activity, you must provide a clear rationale for how the proposed activity builds upon and furthers the objectives of the previously funded activity.</t>
  </si>
  <si>
    <t>F25AS00133 Rhinoceros and Tiger Conservation Fund - ASIA FY25</t>
  </si>
  <si>
    <t>DOI-FWS</t>
  </si>
  <si>
    <t>Fish and Wildlife Service</t>
  </si>
  <si>
    <t>Others (see text field entitled "Additional Information on Eligibility" for clarification) Applicants can be individuals; non-profit, non-governmental organizations; public and private institutions of higher education.</t>
  </si>
  <si>
    <t>U.S. Fish and Wildlife Service (USFWS) works with others to conserve, protect, and enhance fish, wildlife, plants, and their habitats for the continuing benefit of the American people. The purpose of USFWS is to protect the natural world so current and future generations can live with, live from, and find awe in lands, waters, and wildlife. USFWS envisions a future where people and nature thrive in an interconnected way and where every community feels part of and committed to the natural world around us. The USFWS International Affairs program works to coordinate domestic and international efforts to protect, restore, and enhance the worldâ€™s diverse wildlife and their habitats with a focus on species of international concern, including domestic species that range or migrate beyond our borders or are traded or trafficked internationally. We envision a world where all people value nature and conserve living resources for the well-being of life on Earth. The USFWS International Affairs program achieves its goals by providing financial support for important projects that achieve clear conservation results for key species and their habitats around the world. Congress passed the Rhinoceros and Tiger Conservation Act (16 U.S.C. Â§5301) in 1994 because they recognized the increasing threats to tigers and rhinoceros and the American people's commitment to conserving these iconic species. This law helps protect tigers and all rhinoceros species by supporting conservation programs in their habitats. The goal of the Rhinoceros and Tiger Conservation Fund (RTCF) is effective, long-term conservation of rhinoceros and tigers and their habitats. RTCF supports projects that have lasting benefits for Asian rhinoceros and tigers.  RTCF funds projects that are designed to increase rhino and tiger populations, manage their habitats, create protected areas, involve local communities and Indigenous peoples in conservation, deal with conflicts between people and wildlife, and educate the public about these animals.This RTCF NOFO invites applications for conservation projects in Asia that have lasting benefits and:Support protected areas and restore habitats where rhinoceros and tigers live in Asia.Ensure strong protections to stop illegal killing and end the illegal trade in live tigers and rhinos, their products, and their body parts.Work with local communities to protect biodiversity, plan how land is used, and provide alternative ways to earn a living that have lasting benefits.Promote coexistence by reducing the negative impacts of humans on Asian rhinoceros and tigers and their habitats, tackling the root causes of conflicts between humans and these animals, and finding solutions to minimize such conflicts.Conduct research on Asian rhinoceros and tiger populations and their habitats, that informs conservation decision-making, including surveys and monitoring.Enforce CITES and other relevant treaties and laws that prohibit or regulate the taking or trade of rhinoceros and tigers or control how their habitats are used and managed.Eliminate the demand for illegal rhinoceros and tiger parts, products, and live animals in countries that consume them.Reintroduce Asian rhinoceros to places where they once lived.Improve cooperation between countries to promote conservation of tigers and Asian rhinoceros across borders.</t>
  </si>
  <si>
    <t>Integrative Research to Understand the Impact of Sex Differences on the Molecular Determinants of AD Risk and Responsiveness to Treatment (U01 Clinical Trial Optional)</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</si>
  <si>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</si>
  <si>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This Notice of Funding Opportunity (NOFO) invites applications that employ integrative experimental and analytical approaches engaging basic and translational/clinical research aimed at developing a comprehensive understanding of the impact of sex differences on the trajectories of brain aging and disease, phenotypes of AD and AD-related dementias (ADRD) risk, individualized prevention, and responsiveness to pharmacologic and non-pharmacologic interventions. To this end, the central goal of this initiative is to develop robust research programs that will explore how genes, environment, and host factors such as hormonal status (gonadal and brain-derived) interact at various levels of biologic complexity (i.e., cell, tissue, organs/organ systems, and populations) to produce heterogeneous phenotypes of disease risk and responsiveness to prevention/therapy in AD/ADRD.</t>
  </si>
  <si>
    <t>Deriving Common Data Elements from Real-World Data for Alzheimers Disease (AD) and AD-Related Dementias (ADRD) (U24 Clinical Trial Not Allowed)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</si>
  <si>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allowed.</t>
  </si>
  <si>
    <t>This Notice of Funding Opportunity (NOFO) invites applications that aim to develop Common Data Elements (CDEs) for NIA-funded studies on Alzheimers disease (AD) and AD-Related Dementias (ADRD) using Real-World Data (RWD) from electronic health records and claims data from Centers for Medicare and Medicaid Services (CMS). The CDEs will foster data harmonization and interoperability across and among NIA studies that involve disparate and unaligned data fields and RWD. By reducing the efforts required for data harmonization in using studies and RWD for cross-sectional and longitudinal analysis, this NOFO may enable researchers to utilize studies data and RWD more efficiently and produce real-world evidence (RWE) in a timely manner with longitudinal data from NIA-funded studies and RWD.</t>
  </si>
  <si>
    <t>Energy Talent Development - West Africa (ETD-WA) Activity</t>
  </si>
  <si>
    <t>Others (see text field entitled "Additional Information on Eligibility" for clarification) Eligibility for this NOFO is restricted. Eligibility for this award is restricted to local entities in the following countries:Benin, Burkina Faso, Cameroon, Cape Verde, Chad, C te d Ivoire, Equatorial Guinea, Gambia, Ghana, Guinea, Guinea-Bissau, Liberia, Mali, Mauritania, Niger, Senegal, Sierra Leone and Togo. Organizations registered in and primarily based in Nigeria are not eligible to submit applications. USAID anticipates a separate opportunity will be released to invite Nigerian organizations to implement locally led Power Africa activities.  USAID welcomes applications from organizations that have not previously received financial assistance from USAID. Faith-based organizations are eligible to apply for federal financial assistance on the same basis as any other organization and are subject to the protections and requirements of Federal law.Interested and eligible applicant organizations may submit no more than one concept paper and one application under this NOFO.</t>
  </si>
  <si>
    <t>The Power Africa â€œâ€˜Energy Talent Development - West Africaâ€™ (ETD-WA)â€ activity (thereafter â€œthe Activityâ€) will work with local institutions to encourage West Africaâ€™s transition to a more sustainable low-carbon energy system. This activity will coordinate with â€œEmpower West Africaâ€ (EWA), Power Africaâ€™s flagship contract in West Africa aimed at closing the energy poverty gap within the region by increasing the availability of and access to affordable, reliable, sustainable and modern electricity services in the region. As a complement to the broad scope of EWA, the Activity will focus specifically on building capacity of local institutions and individuals through training, workshops, or other capacity-building interventions to advance the goals of EWA.Power Africaâ€™s results framework clearly articulates Power Africaâ€™s goal of Advancing sub-Saharan African development through universal access to clean energy. The results framework presents three Development Objectives outlining the programmatic areas in which Power Africa intends to provide assistance. These include Ending Energy Poverty, Accelerating a Carbon-Free Future, and Bolstering Competitive Private Sector Investment and Innovation in the Energy Sector. Objectives: In line with a whole-of-Power Africa approach, the Activity should identify capacity building needs that would advance the following objectives also outlined in the Empower West Africa Activity:- Optimizing utility performance to increase access;- Off-grid generation and connections increased;- Transition to clean energy development and deployment accelerated;- Private sector investment and innovation in the energy sector enhanced for domestic and regional infrastructure.</t>
  </si>
  <si>
    <t>PEPFAR Community Led Monitoring (CLM)-Zambia</t>
  </si>
  <si>
    <t>DOS-ZAM</t>
  </si>
  <si>
    <t>U.S. Mission to Zambia</t>
  </si>
  <si>
    <t>Others (see text field entitled "Additional Information on Eligibility" for clarification) Not-for-profit organizations, including civil society, non-governmental organizations, and public and private educational institutions.</t>
  </si>
  <si>
    <t xml:space="preserve">See attached NOFO for full funding opportunity. 
ï»¿ 
U.S. Presidentâ€™s Emergency Plan for AIDS Relief (PEPFAR) 
U.S. Embassy Zambia 
Community Led Monitoring-Notice of Funding Opportunity 
 Section 1: PROGRAM DESCRIPTION AND OBJECTIVES 
 Program Description 
The U.S. Presidentâ€™s Emergency Plan for AIDS Relief (PEPFAR) Zambia requests applications for an open competition for organizations to conduct the Community Led Monitoring (CLM) program. This funding opportunity seeks to improve the quality of HIV care in Zambia by soliciting and triangulating recipient of care feedback collected by trained community members. PEPFAR Zambia and Government Republic of Zambia (GRZ) Ministry of Health uses this information to strengthen, address gaps and improve the outcomes of HIV services. PEPFAR Zambia seeks not-for-profit organizations with the capacity to collaborate with PEPFAR, key stakeholders, as well as community level recipients of care of PEPFAR supported services. Potential grantees should build on past work, be able to implement a monitoring program to promote cooperation in improving HIV care, encourage all People living with HIV (PLHIV) constituencies, including but not limited to key populations (KP), adolescent girls and young women (AGYW) persons with disability and pregnant and breastfeeding women (PBFW), to share their experience and facilitate discussion and insight that makes a difference in the HIV response.  
Program Objectives 
PEPFAR Zambia recognizes the importance of engaging with communities in the development and implementation of its HIV programming. The CLM program started in 2021 with PEPFAR providing funding and technical support to not-for-profit organizations implementing in each province. Beginning May 2025, PEPFAR will support CLM implementation with organizations aiming to strengthen previous CLM activities and systematically address client feedback. In partnership with the National HIV/AIDS, STI, and TB Council (NAC) and the Ministry of Health (MOH), quarterly review meetings of recipient of care and client feedback will be held to identify persistent and common problems, challenges, and barriers to service uptake at the site and facility level. To facilitate and ensure all provinces and PLHIV constituencies are represented, PEPFAR Zambia seeks applicants from community organizations from each province in Zambia. The grantees are encouraged to integrate PLHIV-focused community organizations within their province as structures that will facilitate recipient of care engagement for feedback collection. The feedback will be collected and reported using a harmonized reporting tool created by stakeholders. The role of the grantees will focus on feedback collection and synthesizing feedback to share with stakeholders with approval from PEPFAR and MOH, while PEPFAR Zambia will provide oversight of CLM implementation. The grantees are expected to collect recipient of care feedback and experience in two phases; phases one establishes a baseline while phase two demonstrates changes in quality-of-service provision.  
The deliverables are: 
1. Include low and high-volume health facilities offering PEPFAR supported HIV related services across the province, as part of data collection. 
2. Collect feedback from all PLHIV constituencies, including but not limited to KP, AGYW, persons with disability, and Applications which do not include plans for the inclusion of all constituencies will not be considered.  
3. Submit monthly programmatic reporting. 
4. Submit quarterly summarized programmatic indicators and financial reporting 
5. Track changes in recipient of care feedback and service provision between phase one and two feedback collection.  
6. Participate in quarterly meetings with government, community, United States Government (USG) and implementing partners. 
7. Make actionable recommendations to improve client care based on feedback from recipients of care.  
 Section 4: APPLICATION AND SUBMISSION INFORMATION 
Instructions: 
Please follow all application instructions carefully. Proposals that do not meet the requirements of this announcement or fail to comply with the stated requirements will be ineligible. 
 Applicants must ensure: 
1. The proposal clearly addresses the goals and objectives of this funding opportunity 
2. All documents are in English 
3. All budgets are in U.S. dollars and calculated at USD 1= K25 (as of July 2024)  
4. All pages are numbered 
5. All materials are submitted to Grants.gov, by midnight February 17, 2025. 
The following documents are required: 
1. Mandatory Applications forms (these forms are included in the package): 
a) SF-424 (Application for Federal Assistance) 
b) SF-424A (Budget Information for Non-Construction Programs) 
c) SF-424B (Assurance for Non-Construction Programs) 
2. Summary Page: Cover sheet stating the organizationâ€™s name, province applying for, and brief overview of your organization implementation of the CLM program. 
3. Proposal: The proposal should contain sufficient information that anyone not familiar with community led monitoring would understand exactly what the applicant wants to do. You may use your own proposal format, but it must include all the items below: 
a. Proposal Summary: Short narrative that outlines your organizationâ€™s proposed community led program, including plans to reach and collect feedback on the service experience of all PLHIV constituencies including KP, AGYW, pediatrics, persons with disability, and PBFW. 
a) Introduction to the Organization Applying: A description of past and present operations, showing the ability to carry out the CLM program, including the descriptions of funding programs of at least/minimum $25,000, and all previous grants from U.S. government agencies. 
b) Program Methodology and Monitoring Plan: A description of how your organization will engage and train their staff within the province to collect and consolidate feedback from recipients of care. Address the following: 
Â· Include a detailed description of the institutions, networks, and community structures your organization will engage to expand the reach of all PLHIV constituencies accessing HIV related services in the province of interest.  
Â· Detailed description of how all PLHIV constituencies will be included.  
Â· Target to reach a monthly minimum of 250 recipients of care with all PLHIV constituencies covered.  
Â· The coverage of recipients of care should be from both low and high-volume health facilities and, rural and urban areas.  
Â· Describe how your organization will provide field team technical support and supervision to ensure feedback is collected correctly and reports are submitted on a monthly and quarterly basis in a timely manner throughout the lifecycle of the grant.  
Â· Provide detailed description of how recipients of care will be engaged in collaboration with health facilities and other community structures. 
Â· Provide assurance to not engage in a competing interest to this program. 
Â· For sub-awarding: Describe how the CLM work will be managed and tracked, and all reporting requirements met with the sub-awardee.  
c) Key Personnel: Names, titles, roles, and experience/qualifications of key personnel involved in the CLM program. What proportion of their time will be used in support of the CLM program? 
d) Program Partners: List the names of any type of involvement of partner organizations and/or sub-awardees. 
4. Budget Justification Narrative: After filling out the SF-424A Budget form, use two separate documents to describe project budget expenses as detailed budget and budget narrative.  
5. Attachments: 
a) CV or resume of key personnel who are proposed for the program 
b) Letters of support from program partners describing the roles and responsibilities of each partner (if applicable) 
c) Three Reference letters 
1. One letter must be from an international organization with annual funding of $25,000 or more 
d) Applicants submitting proposals over $100,000 must also submit Standard Form LLL (SF-LLL), Disclosure of Lobbying Activities. This form is available at: http://apply07.grants.gov/apply/forms/sample/SFLLL-V1.1.pdf 
Questions:  
For questions on this solicitation please submit questions ONLY to PEPFAR Zambia Grants Team: lusakasmallgrants@state.gov. No questions received through phone calls will be answered. 
Questions may be received until January 20, 2025, and the answers to all questions received will be posted by February 03, 2025 on the PEPFAR Zambia webpage: https://zm.usembassy.gov/our-relationship/pepfar/. Please check back frequently for any updates.  
Â· For questions relating to grants.gov, please contact +1-800-518-4726 or support@grants.gov. 
Â· For questions relating to sam.gov, please contact +1-866-606-8220 or fds.gov. 
Submission: 
All application materials must be submitted electronically through Grants.gov. The subject line should be as follows â€“Applicant Organization name: Community Led Monitoring Grants Program. through Grants.gov only Paper and or email applications will NOT be accepted. 
Application Deadline: February 17, 2025, by Midnight Zambia time. 
</t>
  </si>
  <si>
    <t>Limited Competition: Small Grant Program for NIAMS K01, K08, K23, and K25 Recipients (R03) (Clinical Trials Not Allowed)</t>
  </si>
  <si>
    <t>This Limited Competition: Small Grant Program for NIAMS K01, K08, K23, and K25 Recipients (R03), a re-issue of PAR-22-119, was re-issued as a result of the Simplifying Review of Research Project Grant Applications [link: https://grants.nih.gov/policy-and-compliance/policy-topics/peer-review/simplifying-review].
The Simplified Review changes in Section V are the only changes that have been made. All other aspects of this funding opportunity remain the same.</t>
  </si>
  <si>
    <t>HARMONY: Human-Centric Analytics for Resilient   Modernized Power sYstems</t>
  </si>
  <si>
    <t>Others (see text field entitled "Additional Information on Eligibility" for clarification) DOE is restricting eligibility to universities, colleges, DOE Federally Funded Research and Development Centers (FFRDCs), and non-profit research institutions or think-tanks to serve as the prime applicant.</t>
  </si>
  <si>
    <t>HARMONY: Human-Centric Analytics for Resilient &amp; Modernized Power sYstems
This NOFO aims to enhance grid reliability and resilience in the face of growing uncertainties and in the age of big data to accelerate pathways towards DOE grid modernization goals. Successful implementation of projects will enable rigorous quantification of risks and uncertainties and their communication to decision-makers and human operators for enhanced grid visibility and resilience.</t>
  </si>
  <si>
    <t>Limited Competition: Research Centers in Minority Institutions (RCMI) Coordinating Center (U24 - Clinical Trial Optional)</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</si>
  <si>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</si>
  <si>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NIMHD invites applications from eligible institutions to establish a national coordinating center (CC) for NIMHD-funded Research Centers in Minority Institutions (RCMIs). The RCMI CC will work closely with key personnel at all RCMI Specialized Centers and with NIMHD staff to help the centers collectively achieve their objectives to: (1) enhance institutional research capacity within the areas of basic biomedical, behavioral, and/or clinical research (patient-oriented and health services research); (2) enable all levels of investigators to become more successful in obtaining competitive extramural support, especially from NIH, particularly on diseases that disproportionately impact minority and other health disparity populations; (3) foster environments conducive to career enhancement with a special emphasis on development of early career investigators; (4) enhance the quality of all scientific inquiry and promote research on minority health and health disparities; (5) establish sustainable relationships with community-based organizations that partner with RCMI centers, and (6) centralize and harmonize study operations, coordinate data management, provide biostatistical support to facilitate rapid development and implementation of minority health and health disparity studies conducted in the RCMI-CRNHE (Clinical Research Network for Health Equity) (see RFA-MD-22-006), and also manage a Network Steering Committee . The RCMI CC will be responsive to requests generated by RCMI site key personnel, NIMHD, NIH, the scientific community, and the general public. Eligible applicant institutions for this FOA are limited to recipients of RCMI awards through RFA-MD-17-003, RFA-MD-17-006, RFA-MD-18-012, RFA-MD-20-006, PAR-11-132, RFA-MD-22-002, RFA-MD-23-001, or RFA-MD-24-001.</t>
  </si>
  <si>
    <t>FY25 IIJA/IRA Bureau of Land Management Oregon/Washington (ORWA) Cultural and Paleontological Resource Management</t>
  </si>
  <si>
    <t>Academy of Women Entrepreneurs FY 25 Grant Competition</t>
  </si>
  <si>
    <t>DOS-SLV</t>
  </si>
  <si>
    <t>U.S. Mission to El Salvador</t>
  </si>
  <si>
    <t>Others (see text field entitled "Additional Information on Eligibility" for clarification) This opportunity is open to non-governmental institutions and institutions of higher education.</t>
  </si>
  <si>
    <t>Executive Summary 
The Public Diplomacy Section of the United States Embassy in El Salvador is pleased to announce the call for FY2025 proposals to implement the Academy for Women Entrepreneurs (AWE), a global competition that provides resources to promote womenâ€™s social and economic empowerment.â€¯ By ensuring that women have the professional skills, knowledge, networks, and access to fully participate in the economy, AWE directly supports the National Strategy on Gender Equity and Equality. 
The following organizations are eligible to apply:  
Not-for-profit organizations, including think tanks and civil society/non-governmental organizations  
Public and private educational institutions 
Public International Organizations and Governmental institutions 
Cost Sharing or Matching is not a requirement.  
Other Eligibility Requirements 
We recommend that all organizations have a Unique Entity Identifier (UEI) issued via SAM.gov as well as a valid registration in SAM.gov.  Please see Section D.3 for more information.  
Applicants are only allowed to submit one proposal per organization.  If more than one proposal is submitted from an organization, all proposals from that institution will be considered ineligible for funding. All proposals must be presented in English, accompanied by a detailed budget.  
Program Description 
Overview:â€¯The Academy for Women Entrepreneurs (AWE) was established by the Bureau of Educational and Cultural Affairs (ECA) in 2019 to empower women with the professional skills, knowledge, networks, and access necessary to launch or scale successful businesses.  AWE cohorts, consisting of approximately 25-30 women, engage in both online and in-person sessions to learn core business skills such as strategic planning, marketing, and finance.  These sessions are facilitated by local business leaders, U.S. exchange alumni mentors, and other experts. Visit the United States Embassy in El Salvador website for more details. Please sen</t>
  </si>
  <si>
    <t>Capacity building and technical assistance for sustainable community-led monitoring (CLM) of HIV services in Sierra Leone (SL) under the President s Emergency Plan for AIDS Relief (PEPFAR)</t>
  </si>
  <si>
    <t>The Award Ceiling for Year 1 is 0 (none). CDC anticipates an Approximate Total Fiscal Year Funding amount of $350,000 for Year 1, subject to the availability of funds.This NOFO aims to:Strengthen sustainable community-led monitoring (CLM) of HIV services in SL to improve the national HIV response.Improve HIV care and services to ensure a better client experience and better the health outcomes through community-led site and service monitoring.The objective of this NOFO is to develop and conduct assessments that report on clients' experiences with HIV services in SL, providing the Ministry of Health (MOH) actionable insights for stakeholders. To support this objective, activities include collecting, reporting, and analyzing data to identify and address program gaps in real-time. The CLM results will support national and community ownership, transparency, and sustainability.Focal areas of assessment and reporting will include:HIV prevention and testing services.Treatment services (for example linkage, retention, and viral load [VL] testing).Service provider perceptions, attitudes, and practices.Stigma and discrimination.Client satisfaction with services provided.This NOFO supports the analysis and presentation of data in close collaboration with community representatives, healthcare providers, clients, government stakeholders, and facility managers.This will ensure dialogue and participation across agencies in identifying improvement opportunities and implementing and monitoring solutions.</t>
  </si>
  <si>
    <t>Coordination Center for the Alzheimers Disease Sequencing Project Consortium (U01 Clinical Trial Not Allowed)</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</si>
  <si>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apply.Non-domestic (non-U.S.) components of U.S. Organizations are not eligible to apply.Foreign components, as defined in the NIH Grants Policy Statement, are not allowed.</t>
  </si>
  <si>
    <t>The purpose of this NOFO is to invite applications for the Coordination Center for the Alzheimers Disease Sequencing Project (ADSP) consortium. The ADSP Coordination Center will provide leadership and technical expertise in all aspects of ADSP research. The ADSP Coordination Center will lead and coordinate cross-consortium functions, including effective communication, collaboration, outreach, dissemination, training, and coordination across the components of the ADSP. In addition, the ADSP Coordination Center will be the main conduit for collaboration with NIH and NIA funded programs and the global research community in the genetics and genomics of Alzheimers disease and Alzheimers disease-related dementias (AD/ADRD).</t>
  </si>
  <si>
    <t>NSF-AFRL REsearch in FLoquet Engineered QuanTum Systems</t>
  </si>
  <si>
    <t>Others (see text field entitled "Additional Information on Eligibility" for clarification) *Who May Submit Proposals: Proposals may only be submitted by the following: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PIs or co-PIs must hold primary, full-time, paid appointments in research or teaching positions at US-based campuses/offices of IHEs eligible to submit to this solicitation (see above), with exceptions granted for family or medical leave, as determined by the submitting institution.
A minimum of one PI and two co-PIs must participate in each proposal. These participants must represent at least two different institutions.Each PI/co-PI is expected to contribute complementary expertise relevant to the project proposed including expertise in theory and experimentation, fabrication and testing, or other sciences that may be considered where appropriate.</t>
  </si>
  <si>
    <t>To advance the understanding of novel quantum systems under the influence of time-periodic driving forces, the U.S. National Science Foundation (NSF) and the Air Force Research Laboratory (AFRL) have a mutual interest in exploring innovative concepts on the REsearch in FLoquet Engineered QuanTum Systems (REFLEQTS). For transformational capabilities promised by quantum science to become deployable, new approaches must be developed to create, control, and conserve fragile quantum states on demand.
This topic aligns with the National Quantum Initiative (NQI) as described in the National Science and Technology Council's strategy to extend the research opportunity of Quantum Information Science and Engineering (QISE) by broadening the interagency collaboration and increasing global competitiveness in QISE research outcome that can strengthen National Security.
This solicitation encourages research teams consisting of multiple Principal Investigators (PIs) from multiple institutions to submit proposals on transformative approaches and solutions in materials, devices, theory, and systems to realize the innovative REsearch in FLoquet Engineered QuanTum Systems (REFLEQTS). These systems can be widely applicable, from fundamental science to technology development, for quantum science and engineering including but not limited to quantum sensing, quantum devices, quantum materials, and quantum systems. Research teams may include, but are not limited to, individuals with expertise in classical and quantum materials, devices, and integrated systems in the areas of photonics, and quantum optics. Teams should emphasize combining these areas to access nonequilibrium states for performance metrics unattainable at equilibrium. The requested funds should support a multidisciplinary team of researchers to provide leadership, innovative research, financial support, and workforce training in the focused research theme of Floquet Engineered Quantum System.
Consistent with the NQI and NSTC Strategic Plan, NSF-AFRL REFLEQTS highlights three sets of goals: 1. Leading an interagency collaboration in quantum science and engineering research to encourage and facilitate a mid-scale research team approach; 2. Integrating theory, experimentation, and data-intensive/-driven approaches to explore the innovative approach for Floquet Engineering application in Quantum Systems; 3. Creating a science and engineering workforce in the area of materials, devices, and systems applicable to the quantum field that is trained for careers in academia or industry.</t>
  </si>
  <si>
    <t>Structure and Physics of the Solid Earth</t>
  </si>
  <si>
    <t>The Structure and Physics of the Solid Earth Program (SPSE) aims to advance fundamental knowledge about the ongoing dynamical processes over the age of the Earth that evolve the structure of planet Earth and underpin geohazards. SPSE supports research at all temporal and spatial scales, from the Earth's core to its crust. Through laboratory, field, theoretical, and computational studies, the program encompasses a wide range of disciplines including structural geology, tectonics, and geophysics. Research in these areas can help improve our understanding of natural hazards including earthquakes and mass flows, as well as Earth s formation and its magnetic field.</t>
  </si>
  <si>
    <t>Life and Environments Through Time</t>
  </si>
  <si>
    <t>The Life and Environments Through Time (LET) program supports research that advances knowledge about the patterns and processes relating to the origin and evolution of Earth s climate, environments, life, and sedimentary record. This research takes place at the molecular, local, regional, and global scales from the Archean Eon through the Holocene epoch. LET-supported research can be useful for predicting and planning for future global change, and for the maintenance and security of ecosystem services and human societies.</t>
  </si>
  <si>
    <t>Water, Landscape, and Critical Zone Processes</t>
  </si>
  <si>
    <t>The Water, Landscape, and Critical Zone Processes program supports research on the Earth s near-surface environment and how that environment responds to change. The Program focuses on the complex interplay amongst and between hydrologic, geomorphic, and geochemical processes and how they regulate the structure and function of the Earth s near surface. These processes drive weathering and soil development, control water availability and quality, and help regulate the Earth s climate system, all of which are important for natural resource sustainability and mitigation of natural hazards. It is expected that the research funded in this program will advance fundamental knowledge in Earth surface processes, leading to transformational discoveries in Earth Sciences.</t>
  </si>
  <si>
    <t>Strengthening Botswana's national health data systems for a sustainable and government-led HIV/TB and related public health threat response through enhanced surveillance, digital health, and data analytics under PEPFAR</t>
  </si>
  <si>
    <t>The Award Ceiling for Year 1 is 0 (none). CDC anticipates an Approximate Total Fiscal Year Funding amount of $4,000,000 for Year 1, subject to the availability of funds.This NOFO aims to strengthen the Government of Botswanaâ€™s (GOB) health data systems through tailored technical assistance efforts. You are expected to support the GOB to enhance health facility, district, and national data systems through focus on:Data governance and policies.Capacity building for data management.System functionality, interoperability, availability, quality, and data use. You are also expected to collaborate with relevant stakeholders to support the GOB to ensure that comprehensive, quality HIV-related health data systems operate effectively at the facility, district, and national levels through the following strategic activities:Strengthen monitoring and evaluation (M&amp;E) capacities within GOB, including data availability and reporting, quality, analytics, interpretation, and use at facility, district, and national levels.Enhance health informatics functionality, data security, infrastructure, and health data exchange across systems to improve patient outcomes and inform health policy and programming.Strengthen capacities of the GOB to conduct surveillance activities, including but not limited to clinical, population-level, and key populations. This will help to prevent, respond, and control HIV/TB and related public health threats, under the International Health Regulation (IHR) 2005 framework across all administrative levels.</t>
  </si>
  <si>
    <t>OVW Fiscal Year 2025 Expanding Legal Services Initiative - Legal Assistance for Victims Grant Program</t>
  </si>
  <si>
    <t>Native American tribal organizations (other than Federally recognized tribal governments) Private nonprofit entities, Indian Tribal governments and Tribal organizations, and territorial organizations.</t>
  </si>
  <si>
    <t>The Expanding Legal Services Initiative intends to expand legal representation available to victims of domestic violence, dating violence, sexual assault, or stalking by funding organizations with a history of providing direct services to victims of these crimes, but that do not currently offer in-house legal representation for victims. The initial ELSI award includes a planning phase during which recipients engage in ongoing training and technical assistance to set up a legal department in the organization. Continuation funds support the direct legal services provided by the legal department established during the planning phase. â€¯</t>
  </si>
  <si>
    <t>Disability and Rehabilitation Research Projects (DRRP) Program: Projects for Translating the Findings and Products of Disability and Rehabilitation Research and Development into Practice</t>
  </si>
  <si>
    <t>Native American tribal organizations (other than Federally recognized tribal governments) States; public or private agencies, including for-profit agencies; public or private organizations, including for-profit organizations; IHEs; and Indian tribes and tribal organizations. Foreign entities are not eligible to compete for, or receive, awards made under this announcement. Faith-based and community organizations that meet the eligibility requirements are eligible to receive awards under this funding opportunity announcement.</t>
  </si>
  <si>
    <t>The purpose of the Disability and Rehabilitation Research Projects (DRRPs) is to achieve the goals of, and improve the effectiveness of, services authorized under the Rehabilitation Act, by generating new knowledge, or developing methods, procedures, and rehabilitation technologies that advance a wide range of health and function, community living, and employment outcomes among people with disabilities, especially people with disabilities who have the greatest support needs. Under this particular DRRP priority, grantees must engage in knowledge translation activities to promote the use or adoption of findings or products from NIDILRR- sponsored research or development projects. NIDILRR plans to make five grants under this opportunity in FY 2025. Each grant will have a 60-month project period, with five 12-month budget periods.</t>
  </si>
  <si>
    <t>Blue-Sky Training Program for Grid Scale Energy Storage Systems</t>
  </si>
  <si>
    <t>Others (see text field entitled "Additional Information on Eligibility" for clarification) NOFO No. DE-FOA-0003497, will be restricted to prime recipients that, as of the closing date for this NOFO, are one of the following:(1) Owners/Operators of a utility scale ESS or a facility sited ESS that is 100 kW or greater in size, such as those used to support commercial, industrial, and public service facilities, (2) a host site entity with access to a utility scale or facility sited ESS that is 100 kW or greater in size,(3) an entity with an agreement to access a utility scale or facility sited ESS that is 100 kW or greater in size. This determination is made pursuant to 2 CFR 910.126(b).</t>
  </si>
  <si>
    <t>Blue-Sky Training Program for Grid Scale Energy Storage Systems aims to enhance community safety for utilities with Energy Storage Systems. As storage technologies continue to be deployed, it is critical that communities are storage ready and that necessary stakeholders are brought to the table to ensure a new or existing Energy Storage Systems will operate safely and reliably. In localities across the country, uncertainty over proper response procedures to security threats and unanticipated failures of Energy Storage Systems can delay or even prevent deployment.</t>
  </si>
  <si>
    <t>USAID/Pakistan Inclusive Water Governance Activity (IWGA)</t>
  </si>
  <si>
    <t>USAID-PAK</t>
  </si>
  <si>
    <t>Pakistan USAID-Islamabad</t>
  </si>
  <si>
    <t>Others (see text field entitled "Additional Information on Eligibility" for clarification) Eligibility for this NOFO is restricted to local Pakistani organizations or local Pakistani entities.</t>
  </si>
  <si>
    <t>Background and Problem AnalysisPakistanâ€™s water management sector simultaneously faces the immediate and dual risks of frequent floods and water scarcity. Climate change is further stressing the fragile water balance due to unpredictable variations in the intensity and frequency of rainfall and runoff. As discussed below, hill torrents, urban groundwater recharge, and rural water storage are three critically-important yet under-resourced areas of work.Governance is an integral element that underpins these three water sector challenges. Literature review shows that the â€œthe real bottlenecks often are related to governance challenges such as narrow mandates and capacities of main organizations, ineffective operational procedures besides institutional fragmentation, lack of systematic planning and inadequate financial systems.â€ The absence of locally-led inclusive and robust policy and implementation mechanisms, lack of systemic coordination among key stakeholders, limited and unreliable data, inadequate water service delivery and financial unsustainability of water systems are some ofthe major causes that lead to mismanagement of flood water.</t>
  </si>
  <si>
    <t>Building capacity along the continuum from prevention to care and treatment in the Central American region under the President's Emergency Plan for AIDS Relief (PEPFAR)</t>
  </si>
  <si>
    <t>The Award Ceiling for Year 1 is 0 (none). CDC anticipates an Approximate Total Fiscal Year Funding amount of $20,000,000 for Year 1, subject to the availability of funds.This NOFO will enhance the capacity of El Salvador, Guatemala, Honduras, Nicaragua, Panama, and any future PEPFAR-approved countries in the region, by addressing gaps in HIV prevention, diagnosis, and treatment and accelerate progress towards achieving the 10-10-10 prevention objectives and 95-95-95 care targets.These focuses include:Scale-up access to HIV prevention for key populations through the Sentinel Surveillance and Control of STIs (VICITS/CLAM) strategy.Differentiated models will be used to provide pre- and post-exposure prophylaxis (PrEP and PEP), diagnosis, and treatment of sexually transmitted infections (STIs), distribution of condoms and lubricants, HIV testing, linkage to treatment and prevention services, and surveillance systems.Improve access to HIV testing through active case-finding strategies, including but not limited to, testing as part of outreach for key and priority populations; index, provider-initiated, and community testing; social network strategy; and self-testing.Support early treatment initiation, retention, adherence, management of advanced HIV disease (AHD), TB, and opportunistic infections (OIs), access to CD4 count, and viral load (VL) monitoring/suppression, expansion of differentiated service delivery (DSD) models, and provision of complementary services.Enhance skills of healthcare workers to provide high quality HIV prevention, testing, and treatment services through training and continuous quality improvement (CQI) initiatives.</t>
  </si>
  <si>
    <t>Ending HIV as a public health threat by sustaining and accelerating a comprehensive HIV and TB response in India under the President's Emergency Plan for AIDS Relief (PEPFAR)</t>
  </si>
  <si>
    <t>The Award Ceiling for Year 1 is 0 (none). CDC anticipates an Approximate Total Fiscal Year Funding amount of $4,000,000 for Year 1, subject to the availability of funds.We seek to support the National AIDS Control Program (NACP) to sustain and accelerate HIV epidemic control in priority geographies (e.g. Andhra Pradesh and others as applicable) across the prevention to treatment cascade including viral load suppression (VLS). In alignment with the NACP Phase V, you will build on innovative, evidence-based, person-centered strategies to improve:HIV and TB prevention.HIV and TB case-finding.Improved tools for TB case identification.Linkage to care continuum.Treatment retention and viral load suppression.You should demonstrate an innovative plan to collaborate with and support district, state, national teams, communities, private sector organizations, and other stakeholders to address program gaps and strengthen the HIV/TB response. Technical assistance activities may include, but are not limited to:Closing testing, treatment, and equity gaps.Reinforcing collaborations to complement NACP.Improving data use for impact.Expanding ability to respond to emerging public health threats.</t>
  </si>
  <si>
    <t>Informatics Tools for the Pangenome (U01 Clinical Trial Not Allowed)</t>
  </si>
  <si>
    <t>Native American tribal organizations (other than Federally recognized tribal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</si>
  <si>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National Human Genome Research Institute (NHGRI) will renew the Human Genome Reference Program (HGRP). This Informatics Tools for the Pangenome NOFO will provide multiple awards to develop informatics tools that enable uptake and use of the improved pangenome reference. Emphasis will be on tools for common use cases that are relevant to different broad sectors of the genomics community, e.g., clinical, population, and functional genomics. Possible examples include selecting the best subset of linear genomes or paths along the graph for a given set of samples, visualizing complex variation, and annotating regulatory elements and disease associations.</t>
  </si>
  <si>
    <t>Implement and sustain a comprehensive response to HIV and technical assistance to strengthen the capacity of regional authorities in the United Republic of Tanzania under the President's Emergency Plan for AIDS Relief (PEPFAR)</t>
  </si>
  <si>
    <t xml:space="preserve">Independent school districts </t>
  </si>
  <si>
    <t>The Award Ceiling for Year 1 is 0 (none). CDC anticipates an Approximate Total Fiscal Year Funding amount of $90,000,000 for Year 1, subject to the availability of funds.The NOFO aims to implement and sustain a comprehensive response to HIV/TB and strengthen the capacity of regional authorities in the United Republic of Tanzania under PEPFAR. The overarching goals of the NOFO include:Improving the quality of life for people living with HIV, including key and vulnerable populations.Reaching and maintaining the UNAIDS 95-95-95 targets for all subpopulations.This NOFO aims to achieve these goals by:Improving service delivery models.Strengthening all health systems while sustaining achieved gains and expanding the HIV/TB response.Transformative partnerships that support the management, oversight, reporting, and funding of health facilities (HF).Technical assistance and capacity-building services to strengthen the ability of local and regional government agencies and partners to implement and sustain a comprehensive response to HIV/TB.Activities outlined in the NOFO are expected to support assigned administrative regions to develop, adapt, and implement monitoring and evaluation (M&amp;E) tools. These M&amp;E tools will be used to:Identify and address disparities in health outcomes and service gaps.Address health equity.Improve programmatic service delivery.Make informed evidence-based decisions.Additionally, activities and funding should be streamlined to facilitate an optimized delivery of HIV/TB services and coordination across different stakeholders in each region.</t>
  </si>
  <si>
    <t>Strengthening the national HIV care and treatment program in Sierra Leone (SL) to accelerate the response to end the HIV/AIDS pandemic as a public health threat by 2030, under the President s Emergency Plan for AIDS Relief (PEPFAR)</t>
  </si>
  <si>
    <t xml:space="preserve">City or township governments </t>
  </si>
  <si>
    <t>The Award Ceiling for Year 1 is 0 (none). CDC anticipates an Approximate Total Fiscal Year Funding amount of $7,500,000 for Year 1, subject to the availability of funds.The NOFO will support the government of Sierra Leone (SL) in speeding up progress to end the HIV/AIDS pandemic as a public health threat by 2030 through direct service delivery (DSD) and technical assistance (TA), including:Carrying out a sustainable HIV care and treatment program and quality improvement projects.Building local capacity, human resources for health, and partnerships to strengthen sustainable public health systems.This NOFO has several objectives, including to:Carry out sustainable, high-quality HIV care and treatment services and reach the 95-95-95 treatment targets for people living with HIV by age, gender, and population group.Close equity gaps for key and priority populations, including adolescent girls, young women, and children.Improve and sustain monitoring and evaluation (M&amp;E) systems to build capacity for high-quality data collection, analysis, and use of data for decision-making at the community and facility levels.Support national policies, guidelines, materials, and procurement for a full package of HIV prevention, care, and treatment.Optimize quality improvement and quality assurance (QI/QA) and related support services at the facility level.Collaborate with the government of SL to strengthen the technical and managerial capacity of national and district health management teams (DHMT) and civil society organizations (CSO) to carry out service delivery models that are customized for country ownership of the HIV response.</t>
  </si>
  <si>
    <t>Strengthening India s integrated HIV/STI tiered laboratory network through continuous quality improvement, surveillance, and laboratory data management under the President s Emergency Plan for AIDS Relief (PEPFAR)</t>
  </si>
  <si>
    <t>The Award Ceiling for Year 1 is 0 (none). CDC anticipates an Approximate Total Fiscal Year Funding amount of $1,000,000 for Year 1, subject to the availability of funds. You will support the National AIDS Control Program (NACP) under the Ministry of Health (MoH) to strengthen the national HIV/STI laboratory systems and services in India. This NOFO aims to maintain gains and strengthen the delivery of high-quality, integrated HIV/STI diagnostic services across the country through the following:Optimizing diagnostic networks to ensure efficiencies and testing accessibility through innovative strategies.Saturating viral load coverage (VLC).Improving biosafety.Achieving and maintaining International Organization for Standardization (ISO) accreditation and national certifications.Expanding proficiency testing (PT) programs to multiple testing parameters.Prioritizing the scaling of patient-centered approaches and point-of-care testing (POCT) to address the following:Barriers to access.Integration of multi-disease tests.Quality improvement, certification, and validation.Incorporating molecular epidemiology to pinpoint transmission networks and emerging needs.Conducting HIV drug resistance testing.Using implementation science to incorporate innovative laboratory models to improve detection, coverage, and access to HIV/STI diagnostic services.</t>
  </si>
  <si>
    <t>Ryan White HIV/AIDS Program (RWHAP) Access, Care, and Engagement Technical Assistance Center (ACE TA)</t>
  </si>
  <si>
    <t>County governments These types of domestic* organizations may apply: Public institutions of higher education Private institutions of higher education Non-profits State, county, city, township, and special district governments, including the District of Columbia, domestic territories, and the freely associated states Native American tribal governments Native American tribal organizations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</si>
  <si>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This notice announces the opportunity to apply for funding under the Ryan White HIV/AIDS Program (RWHAP) Access, Care and Engagement Technical Assistance Center (ACE TA Center), previously funded under Funding Opportunity Number HRSA-22-024. This cooperative agreement will build the capacity of RWHAP recipients and subrecipients to ensure people with HIV understand and use the range of health care coverage options available to facilitate access to and maintain engagement in care.
 The funded entity will work collaboratively with Health Resources and Services Administrationâ€™s (HRSA) HIV/AIDS Bureau (HAB) on a national scale to achieve the following goals:
 â€¢
 Maximize engagement of people with HIV in health care through increased health literacy on how to access and engage with the health care system, including clinicians, support service providers, and other practitioners.
 â€¢
 Increase awareness and understanding of RWHAP recipients, subrecipients, providers, and people with HIV on how to enroll in and/or utilize health care coverage options available in the evolving health care landscape.
 â€¢
 Identify or develop strategies and messages to promote equitable access to health care coverage options for people with HIV to increase engagement in HIV care and maintain health care coverage through the assistance of outreach workers; health educators; case managers; peer navigators; health care navigators; certified application counselors, other assisters; and administrators.
 â€¢
 Improve health outcomes across the HIV care continuum for people with HIV, including maximizing health care coverage for people aging with HIV.</t>
  </si>
  <si>
    <t>Applied Field Research on Ecological Functions at Living Shoreline Installations</t>
  </si>
  <si>
    <t xml:space="preserve">Others (see text field entitled "Additional Information on Eligibility" for clarification) This opportunity is restricted to non-federal partners of the Chesapeake Watershed Cooperative Ecosystems Studies Unit (CESU)._x000D_
_x000D_
Disclosures of current and pending support made in this application may render an applicant ineligible for funding. Prior to award and throughout the period of performance, ERDC may continue to request updated continuing and pending support information, which will be reviewed and may result in discontinuation of funding. _x000D_
_x000D_
Religious organizations are entitled to compete on equal footing with secular organizations for Federal financial assistance as described in E.O. 13798,  Promoting Free Speech and Religious Liberty. </t>
  </si>
  <si>
    <t xml:space="preserve">The research will address the following 2 objectives: Objective 1: Collaborate with ERDC researchers to develop and apply qualitative and quantitative metrics that evaluate the ecological function (i.e., biomass productivity, sediment accumulation, habitat provisioning, etc.) within and adjacent to living shoreline and natural shoreline sites. The metrics and results will be reported in a yearly report and/or peer reviewed publication as a journal article, technical report, etc. Objective 2: Perform comparative analysis of physical parameters, design specifications, and ecological functions at living shoreline and natural shoreline sites. The results of this analysis will be used to develop a living shoreline guidance document that will assist landowners and natural resource managers in making informed decisions about shoreline stabilization strategies. </t>
  </si>
  <si>
    <t>FY 2025 Youth Ambassadors Europe (YA-EUR) Program</t>
  </si>
  <si>
    <t>Private institutions of higher education Please see full announcement.</t>
  </si>
  <si>
    <t>The Office of Citizen Exchanges, Youth Programs Division of the Bureau of Educational and Cultural Affairs (ECA) announces an FY 2025 open competition for the Youth Ambassadors Europe (YA-EUR) Program. U.S. public and private non-profit organizations meeting the provisions described in Internal Revenue Code section 26 USC 501(c)(3) may submit proposals to provide two cohorts of participants with a four-week exchange in the United States focused on the primary themes of civic engagement, leadership development, and pluralism through a lens of environmental sustainability, as well as supporting participant follow-on projects to be completed in their home communities. It is ECAâ€™s intent to award one cooperative agreement for programming in Summer 2025 and Summer 2026.Please see the full announcement for additional information.</t>
  </si>
  <si>
    <t>Democracy Commission Small Grants Program 2025</t>
  </si>
  <si>
    <t>Others (see text field entitled "Additional Information on Eligibility" for clarification) Not-for-profit organizations, including think tanks and civil society/non-governmental organizations from North Macedonia only; and_x000D_
Independent media from North Macedonia only.</t>
  </si>
  <si>
    <t xml:space="preserve">The FY 2025 Democracy Commission Small Grants Program supports the development of democratic institutions with five priority areas: strengthening democratic values such as security, anti-corruption, good governance, and election transparency; bolstering civil society and fostering volunteerism or activism in local communities; addressing social division and encouraging social cohesion or combating intolerance; focusing on cyber security, media literacy, and combating malign foreign influence- with sustainable results; and promoting environmental and health-focused initiatives. Applicants should clearly define the target audience(s) which they are able to realistically reach/influence with the project activities. Broad target audiences such as general public, youth, everyone etc. should be avoided. </t>
  </si>
  <si>
    <t>Next Level Now Technical Assistance Collaborative</t>
  </si>
  <si>
    <t>Others (see text field entitled "Additional Information on Eligibility" for clarification) Eligible applicants must be organizations that possess the internal capacity, external relationships, and expertise in workforce development that will enable them to deliver TA services on a national, system-wide scale to the public workforce system. The following entities are eligible to apply:_x000D_
 	Non-profit organizations;_x000D_
 	Educational institutions, including research _x000D_
        institutions that provide technical assistance;_x000D_
 	Labor organizations or trade unions; _x000D_
 	State governments; or _x000D_
 	For-profit technical assistance providers, private _x000D_
        institutes, or independent policy research _x000D_
        organizations._x000D_
_x000D_
Among eligible applicants listed above, the applicant agency or organization must also have the expertise (particularly within the publicly funded workforce system), resources, and capacity (number of personnel, subject matter experts) to deliver comprehensive TA at a nationwide scale. DOL anticipates that most eligible entities will not singularly possess the expertise or capacity to operate the project unassisted and will need to engage partners. As such, the lead applicant s implementation plan must include a description of the associated partners, if engaged, to supplement program activities to fully address and execute all of the required grant funded activities and deliverables.</t>
  </si>
  <si>
    <t>This funding will support a cooperative agreement between the U.S. Department of Labor and the selected awardee(s), who will operate a Technical Assistance Collaborative to provide strategic, short- and long-term technical assistance (TA) to help public workforce system entities at the state and local levels improve service quality and outcomes for job seekers and employers who use the public workforce system. For the purposes of this announcement, the public workforce system is considered as primarily Workforce Innovation and Opportunity Act (WIOA) Title I and Wagner-Peyser Act Employment Service grantees and required partners of stop delivery system. TA may be provided to a of workforce system partners to improve WIOA Title I and Wagner-Peyser Act service delivery.</t>
  </si>
  <si>
    <t>OVW Fiscal Year 2025 Legal Assistance for Victims Grant Program</t>
  </si>
  <si>
    <t>Nonprofits that do not have a 501(c)(3) status with the IRS, other than institutions of higher education Private nonprofit entities, Indian Tribal governments and Tribal organizations, territorial organizations, and publicly funded organizations not acting in a governmental capacity such as law schools.</t>
  </si>
  <si>
    <t>The Legal Assistance for Victims Grant Program (LAV) is intended to increase the availability of legal assistance to victims of domestic violence, dating violence, sexual assault, and stalking by funding comprehensive legal services projects. The legal services projects should include organizations that have a mission and history of providing direct services to victims of domestic violence, dating violence, sexual assault, or stalking. Eligible applicants include nonprofit organizations; publicly funded entities acting in a nongovernmental capacity, such as law schools; Indian Tribal governments; Indian Tribal organizations; and territorial organizations.</t>
  </si>
  <si>
    <t>Minority University Research and Education Project (MUREP) Aeronautics Community   Environmental Impact Research (ACEIR)</t>
  </si>
  <si>
    <t>NASA</t>
  </si>
  <si>
    <t>National Aeronautics and Space Administration</t>
  </si>
  <si>
    <t>Others (see text field entitled "Additional Information on Eligibility" for clarification) To be eligible for this funding opportunity, all proposals shall originate from two-year or four-year institutions designated and listed by the U.S. Department of Education as a Minority-Serving Institution (MSI) at the time of proposal submission (see NASA MSI List). Proposals from institutions that are not designated and listed by the U.S. Department of Education as MSI at the time of proposal submission will result in NASA returning the application without review. Institutions not meeting these criteria are encouraged to partner with colleges or universities that do satisfy the requirements. Any arrangement or agreement to have the fiscal management and/or administration of the award performed by a third party is between the recipient and the third party, (e.g., an affiliated Board of Regents, University System or Foundation). _x000D_
_x000D_
Eligible entities for this funding opportunity includes both: _x000D_
  Public and state-controlled institutions of higher education _x000D_
  Private institutions of higher education_x000D_
_x000D_
 https://msiexchange.nasa.gov/msilist</t>
  </si>
  <si>
    <t>The NASA Office of Science, Technology, Engineering, and Mathematics Engagement (OSTEM) Minority University Research and Education Project (MUREP) Aeronautics Community   Environmental Impact Research (ACEIR) activity is an opportunity for Minority Serving Institutions (MSIs) to conduct interdisciplinary research into the environmental and societal impacts of future air transportation technology and infrastructure on overburdened communities through development of new practices and radical innovation. 
MSIs will research how future air transportation technologies impact communities and the environment, and develop equitable, safe, affordable, and accessible approaches to the future of aviation. 
By applying their unique perspectives, experiences, approaches, and community relationships to this area of local, regional, and national interest, MSIs will contribute to creating more equitable access and impacts across communities as well as a more equitable future of aviation for all. By engaging their faculty and students in this research, MSIs will build capacity at their institutions and contribute to increasing the diversity of the STEM workforce.</t>
  </si>
  <si>
    <t>Iraq Civic Engagement Activity</t>
  </si>
  <si>
    <t>USAID-IRA</t>
  </si>
  <si>
    <t>Iraq USAID-Baghdad</t>
  </si>
  <si>
    <t xml:space="preserve">The United States Agency for International Development (USAID) is seeking applications for a cooperative agreement from qualified entities to implement Iraq Civic Engagement Activity. Eligibility for this award is not restricted.  
USAID intends to make an award to the applicant who best meets the objectives of this funding opportunity based on the merit review criteria described in this NOFO subject to a risk assessment. Eligible parties interested in submitting an application are encouraged to read this NOFO thoroughly to understand the type of program sought, application submission requirements and selection process. The selection process, as described in detail in the NOFO, will be in two phases. Only Applicants specifically asked by the Agreement Officer to submit Phase Two documentation will need to provide it. Unless otherwise informed, only Phase One information is required to be submitted for evaluation by the closing date and time above.  
To be eligible for award, the applicant must provide all information as required in this NOFO and meet eligibility standards in Section B of this NOFO. This funding opportunity is posted on www.grants.gov and may be amended. It is the responsibility of the applicant to regularly check the website to ensure they have the latest information pertaining to this NOFO and to ensure that it has been downloaded from the internet in its entirety. USAID bears no responsibility for data errors resulting from transmission or conversion process. If you have difficulty registering on www.grants.gov or accessing the NOFO, please contact the Grants.gov Support Center at 1-800-518-4726 or via email at support@grants.gov for technical assistance or if you need assistive technology and are unable to access any material on this site.  
Unless an exception in 2 CFR 25.110 applies, applicants must comply with 2 CFR 25 requirements to obtain a Unique Entity Identifier (UEI) and register in the System for Award Management (SAM.gov), as applicable. See Section E, Submission Requirements and Deadlines, for more information. The registration process may take many weeks to complete. Therefore, applicants are encouraged to begin registration early. 
Please send any questions to the point(s) of contact identified in Section A.4. The deadline for questions is shown above. Responses to questions received prior to the deadline will be furnished to all potential applicants through an amendment to this notice posted to www.grants.gov. 
Issuance of this NOFO does not constitute an award commitment on the part of the Government nor does it commit the Government to pay for any costs incurred in preparation or submission of comments/suggestions or an application. Applications are submitted at the risk of the applicant. All preparation and submission costs are at the applicantâ€™s expense. 
Thank you for your interest in USAID programs. 
</t>
  </si>
  <si>
    <t>Sustaining HIV services for key and priority populations through enhanced differentiated testing, innovative treatment and prevention approaches, and continuous support to Ukraine Ministry of Health, Public Health Center, and communities under PEPFAR</t>
  </si>
  <si>
    <t>The Award Ceiling for Year 1 is 0 (none). CDC anticipates an Approximate Total Fiscal Year Funding amount of $8,000,000 for Year 1, subject to the availability of funds.The NOFO aims to help the Ministry of Health of Ukraine (MOH), the Ukraine Public Health Center (PHC), and communities improve HIV testing, prevention, and treatment activities among key and priority populations amid the ongoing war.The expected outcomes of the NOFO are:Improve access to and use of comprehensive HIV services for key and priority populations.Implement differentiated service delivery (DSD) models at medical facilities and communities to improve the quality of service delivery.Expand access to and quality of medication-assisted therapy (MAT) for key populations.Align national policies and guidelines with international standards. The activities required to accomplish the goals of the NOFO include:Train healthcare professionals and community health workers to provide comprehensive HIV services in a way that is free of stigma and discrimination.Use social network strategy (SNS), mobile testing models, HIV self-testing (HIVST), and other innovative HIV case-finding modalities to connect with key and priority populations that are harder to reach.Ensure wide access to comprehensive HIV services for key and priority populations by leveraging communities.Expand access to and coverage of high-quality MAT services, including to people in prisons and other closed settings.Use data and evaluation results to guide improvements and make recommendations for policy development, program, and service delivery.</t>
  </si>
  <si>
    <t>Improving quality of care and health outcomes through innovative systems and technologies in Malawi under the President's Emergency Plan for AIDS Relief (PEPFAR)</t>
  </si>
  <si>
    <t xml:space="preserve">Native American tribal governments (Federally recognized) </t>
  </si>
  <si>
    <t>The Award Ceiling for Year 1 is 0 (none). CDC anticipates an Approximate Total Fiscal Year Funding amount of $7,000,000 for Year 1, subject to the availability of funds.This NOFO builds on gains made in Malawiâ€™s HIV health information systems (HIS) by:Strengthening existing data systems.Improving security through application of International Organization for Standardization (ISO).Enhancing and expanding HIS to ensure reported data at the facility, district, and national levels are accurate, reliable, timely, and useable.Maintaining and strengthening HIS infrastructure.Improving interoperability and data sharing at all levels of the health care system.Supporting patient records management, program monitoring, and timely reporting for the Ministry of Health (MOH) and PEPFAR. Activities under this NOFO are expected to:Improve data reliability and accuracy.Enhance use and reporting.Increase use of a sustainable nationwide HIV HIS that provides aggregate and case surveillance for reporting and analysis.Improve Malawi health information system (MaHIS) governance and implementation by MOH.Increase data exchange across systems.Improve site-level client identification and deduplication. This NOFO supports modernization of a government-owned, sustainable, secure, and integrated HIS for data collection and management. This is to be used at all levels, while improving patient health outcomes. The scope covers building and maintaining associated hardware systems, building MOH capacity to support the systems, increasing user support services, and introducing new and sustainable technologies. These efforts strive to improve the usability, flexibility, and integration of these systems.</t>
  </si>
  <si>
    <t>Providing targeted technical assistance to the HIV/TB prevention-care-treatment continuum using cost efficient and scalable quality improvement approaches to address program gaps in support of sustainable HIV services in Zambia under PEPFAR</t>
  </si>
  <si>
    <t>The Award Ceiling for Year 1 is 0 (none). CDC anticipates an Approximate Total Fiscal Year Funding amount of $15,000,000 for Year 1, subject to the availability of funds.This NOFO aims to support health systems strengthening efforts and the delivery of HIV/TB prevention, care, and treatment services to meet the Joint United Nations Programme on HIV and AIDS 95-95-95 targets from the current 89-98-96 before 2030. Through technical assistance (TA) you are expected to:Use continuous quality improvement (CQI) approaches informed by program data to address poor antiretroviral therapy (ART) coverage.Information systems.Supply chain coordination and logistics management.Use surveys, evaluations, studies, and program data to identify and address program gaps in underserved, vulnerable, and key populations.Closing the gap in the first 95 among men who have sex with men, female sex workers, people who inject drugs, and other key populations in Zambia is the priority.Address the following gaps in the national HIV/AIDS response:Human resources for health (HRH).Laboratory capacity.Data management.Optimize HIV/TB service delivery quality management systems at designated sub-national levels.Develop and establish effective HIV/TB management and leadership capacity at the facility, district, and provincial levels to optimize program outcomes.</t>
  </si>
  <si>
    <t>Improving HIV prevention and treatment in the Dominican Republic with a focus on priority populations under the President's Emergency Plan for AIDS Relief (PEPFAR)</t>
  </si>
  <si>
    <t>The Award Ceiling for Year 1 is 0 (none). CDC anticipates an Approximate Total Fiscal Year Funding amount of $5,600,000 for Year 1, subject to the availability of funds.The goal of this NOFO is to provide high-quality, friendly HIV clinical services to people living with HIV, focusing on priority populations in the Dominican Republic (DR). Priority populations in DR include people who are living with HIV, particularly Haitian migrants and their descendants, hereafter referred to as the priority population. This includes improving access to HIV testing, providing HIV treatment and TB preventive therapy (TPT), and retaining people living with HIV on lifelong quality treatment to ensure they are virally suppressed.The work will include using the latest international standards for clinical services to reach this population, including: Same-day start on antiretroviral therapy [ART] and multi-month dispensing;Using optimal approaches to reach and provide for priority populations and their needs.</t>
  </si>
  <si>
    <t>FY25 IIJA/IRA Bureau of Land Management Oregon/Washington (OR/WA) Wildlife Program</t>
  </si>
  <si>
    <t>The BLM OR/WA Wildlife Program advances the Department of the Interior's priorities to address the climate crisis, restore balance on public lands and waters, advance environmental justice, and invest in a clean energy future. Specific BLM OR/WA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OR/WA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</si>
  <si>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F25AS00376 MENTOR - ApeHealth</t>
  </si>
  <si>
    <t>Others (see text field entitled "Additional Information on Eligibility" for clarification) Applicants may be multi-national secretariats, U.S. and foreign non-profits, non-governmental organizations, community and indigenous organizations, and U.S. and foreign public (non-government entity) and private institutions of higher education.Funds provided under this program may not be used for assistance to governments, parts of government, or government employees in countries that USAID notifies the Service to be ineligible for assistance.</t>
  </si>
  <si>
    <t>The U.S. Fish and Wildlife Serviceâ€™s (Service) mission is to work with others to conserve, protect and enhance fish, wildlife, plants, and their habitats for the continuing benefit of the American people. The goal of the Serviceâ€™s African Great Ape Conservation Fund (GACF-Africa) is to ensure the long-term conservation of African great apes in the wild. The International Union for Conservation of Nature (IUCN) Red List of Threatened Species lists all African great apes as either Endangered or Critically Endangered, and all subspecies, with the exception of mountain gorillas (G. b. beringei), are experiencing decreasing population trends. Infectious disease is among the leading threats to most African great ape populations. Over the past few decades veterinary support for great ape health at the site level has increased substantially in some regions, but opportunities for Central African nationals to obtain the skills necessary to effectively address great ape and other wildlife health challenges remain limited, threatening the security of human, wildlife and ecosystem health. The Service seeks to strengthen capacity within Central African ape range states to effectively address great ape and broader wildlife health security issues. This funding opportunity seeks proposals for a targeted three-year Mentoring for Environmental Training in Outreach and Resource conservation (MENTOR) Program to improve the capacities of Central African veterinarians and veterinary colleges to achieve those aims. The objectives of the program are to 1) strengthen the capacity of wildlife veterinary practitioners in Central Africa to address health threats to great apes in the wild, 2) strengthen the capacity of academic institutions in Central Africa to address wildlife and great ape health threats, and 3) strengthen and sustain the great ape health community through a professional network. This increased capacity will also bring needed wildlife health and veterinary expertise to address health security in the region, supporting joint priorities for human and animal health. Understanding and addressing disease dynamics between humans and wildlife contributes to our collective ability to address future pandemics, safeguarding the American public. The successful applicant is expected to engage in a co-design process with the Service to implement the MENTOR program. Applicants may be multi-national secretariats, U.S. and foreign non-profits, non-governmental organizations, community and indigenous organizations, and U.S. and foreign public (non-government entity) and private institutions of higher education.</t>
  </si>
  <si>
    <t>FY25 IIJA/IRA Bureau of Land Management Oregon/Washington (ORWA) Forest and Woodlands Resource Management</t>
  </si>
  <si>
    <t>Private institutions of higher education Individuals and For-Profit Organizations not eligible to apply for awards under this NOFO. 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</si>
  <si>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Funded projects under this program will focus on high priority work such as activities inform and promote forest and woodland health, sustainable forest management, fire resiliency, biomass utilization for bioenergy, habitat conservation needs, and insect, disease and fire recovery on public lands. These activities could include, but are not limited to: planting trees, pre-commercial and commercial thinning, salvage/sanitation forest treatments, control of competing vegetation, fuels reduction, riparian or upland restoration, Endangered Species Act or cultural clearances, data collection, monitoring, and research. Priority activities under this announcement include implementation projects that treat forest and woodlands nationally and projects that produce data or research to support sustainable silviculture and forest management in Oregon (see following description):1. One or more components of preparing or implementing a project (site surveys, environmental clearances, project layout, timber cruising, timber marking, boundary designation, and other tasks related to preparing a project; planting trees, thinning, fuels reduction, riparian restoration, and other tasks involved with implementing a project).2. Data production or research to inform silvicultural practices for sustainable forest management, including projects related to density management, climate change adaptation, and understanding the effects of silvicultural treatments on forest structure and vegetation diversity. 3. Activities to achieve Land Management Goals (see Stewardship Manual for definition) or acres/ units of forest or woodland treatments conducted.</t>
  </si>
  <si>
    <t>USAID Soroka</t>
  </si>
  <si>
    <t>USAID-MAD</t>
  </si>
  <si>
    <t>Madagascar USAID-Antananarivo</t>
  </si>
  <si>
    <t>Others (see text field entitled "Additional Information on Eligibility" for clarification) Eligibility is restricted to Local entities and organizations that have received less than $25 million in USAID funding, at any tier, over the past five years; or for global health awards the organization has received less than $25 million in U.S. Government funding at any tier, over the past five years. For more information, see Section B.1. of the NOFO</t>
  </si>
  <si>
    <t>SOROKA is a Malagasy word which constitutes the root of the verb â€œmisorokaâ€, meaning â€œto preventâ€, corresponding to the aim of surveillance. SOROKA can be the acronym of the specific objectives of the project: Surveillance, Operational Research, and Optimization of Knowledge-sharing for Action activity.The SOROKA activity is expected to be a $7.5 million award for five years from Oct 2024 to Sept 2029. SOROKA's main objective is to advance the health of the Malagasy people through improvements in capacity-building and coordination and execution of data collection, management, synthesis, and use for public health action. Following the RISE project, SOROKA will enhance local capacity and expand leadership within the Ministry of Public Health (MOPH) to detect threats to global health security, and to plan and conduct emergency outbreak response. It will reinforce the country's capacity to plan, implement, and disseminate locally led research and evaluations, and increase public sector capacity to use epidemiologic and surveillance data for public health action.SOROKA will be the main activity of USAID/Madagascarâ€™s Health Office for research on malaria, MNCH (mother, neonatal, and child health), WASH (water, sanitation, and hygiene), and GHS (global health security), for program evaluation, biological surveillance including AMR (antimicrobial resistance), emergency responses to health threats and institutionalization of epidemiology and laboratory data use for decision making. SOROKA will also provide targeted and need-based cross-sectorial training for the MOPH staff throughout its implementation. In general, SOROKA is intended to cover all HPN program elements, particularly malaria, MNCH, GHS and WASH.</t>
  </si>
  <si>
    <t>Advancing country-led sustainable digital health transformation across PEPFAR-supported countries through informatics workforce capacity development to end HIV/AIDS and TB as a public health threat by 2030 under PEPFAR</t>
  </si>
  <si>
    <t>The Award Ceiling for Year 1 is 0 (none). CDC anticipates an Approximate Total Fiscal Year Funding amount of $25,000,000 for Year 1, subject to the availability of funds.PEPFAR supports 50+ countries to focus on achieving sustainable HIV epidemic control towards reaching the United Nations Sustainable Development Goal of ending the global AIDS pandemic as a public health threat by 2030. The PEPFAR strategy aligns with UNAIDS 95-95-95 targets, underscores the importance of accelerated testing and treatment strategies, broadens surveillance and prevention efforts, leverages quality data for decision-making, supports country ownership, and nurtures public-private partnerships. This NOFO aims to optimize informatics strategies to advance data-driven, country-owned and -led digital health systems through strengthened governance, cybersecurity and local workforce capacity that will facilitate sustainable digital health solutions essential for HIV epidemic control and integrated patient care services. The focus will be on local capacity development, innovative technologies and security, transformative partnerships to leverage expertise and resources, and digital health equity through inclusive solutions tailored to marginalized populations. Technical Assistance for countries will support and enhance the management and prevention of HIV disease with sustainable HIS that advances data use through 1. Country-owned and operated HIS; 2. Country-owned and -led digital health strategies and governance frameworks; 3. Skilled health informatics workforce; and 4. Robust monitoring and evaluation to optimize HIS, program efficiency, and resource allocation.</t>
  </si>
  <si>
    <t>Rehabilitation Research Career Development Programs (K12 Clinical Trial Optional)</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</si>
  <si>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</si>
  <si>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This funding opportunity seeks applications to support national programs of mentored career development and training in research for junior faculty in clinical rehabilitation fields. The goal is to attract and nurture a new and geographically-diverse cadre of clinically trained rehabilitation researchers and support their transition to independent funding. The program should support scholars with a clinical background in medical rehabilitation (e.g., physiatry, physical/occupational therapy and allied health).</t>
  </si>
  <si>
    <t>FY 2025 Youth Ambassadors Africa Program</t>
  </si>
  <si>
    <t>Public and State controlled institutions of higher education Please see full announcement.</t>
  </si>
  <si>
    <t>The Office of Citizen Exchanges, Youth Programs Division, of the Bureau of Educational and Cultural Affairs (ECA) announces an open competition for the FY 2025 Youth Ambassadors Africa (YA â€“ AF) program. U.S. public and private academic and cultural institutions, exchange-of-persons, and other non-profit organizations meeting the provisions described in Internal Revenue Code section 26 USC 501(c)(3) may submit proposals to provide youth and adult mentors from countries in sub-Saharan Africa with a three-week exchange program in the United States focused on the primary themes of civic engagement, leadership development, and pluralism. U.S. embassies and consulates (here after referred to as posts) in sub-Saharan Africa will recruit, screen, and select the participants. ECA funding will support the planning and implementation of U.S.-based programming, including pre-departure domestic travel, participant international travel, as well as supporting participant follow-on projects designed to share the benefits of the exchange in home communities.It is ECAâ€™s intent to award one cooperative agreement for programming in 2026.Please see the full announcement for additional information.</t>
  </si>
  <si>
    <t>Rural Health Care Services Outreach Program</t>
  </si>
  <si>
    <t>Public and State controlled institutions of higher education All domestic* public or private, non-profit, and for-profit entities are eligible to apply. Types of eligible organizations This includes entities such as non-profits with a 501(c)(3) and non-profits with an IRS status other than a 501(c)(3). Other eligible entities may include but are not limited to: Public and private institutions of higher education State and county health departments Hospitals, including rural emergency hospitals Native American tribal government and organizations Community-based organization Federally qualified health centers Rural health clinics Tribal exception: HRSA is aware that tribes and tribal organizations may not meet the Employer Identification Number (EIN) or Unique Entity Identifier (UEI) requirement of this NOFO. As a result, tribes and tribal organizations that only have one EIN or UEI or are unable to demonstrate that the network is composed of at least three unique entities, may request a tribal exception. Applicants must request a tribal EIN exception in Attachment 14: Tribal EIN exception request.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</si>
  <si>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This community-based grant program aims to support organizations to promote rural health care services outreach by improving and expanding the delivery of health care services to include new and enhanced services in rural areas.
 To achieve this purpose, the program also aims to strengthen local resources and capacity in rural communities. Through collaborative consortiums that include three or more health care providers, each community can develop innovative approaches to solve their own unique challenges and factors underlying rural health disparities.</t>
  </si>
  <si>
    <t>Enhancing Timely Data Reporting, Quality, and Use in Early Hearing Detection and Intervention (EHDI) Surveillance</t>
  </si>
  <si>
    <t>HHS-CDC-NCBDDD</t>
  </si>
  <si>
    <t>Centers for Disease Control - NCBDDD</t>
  </si>
  <si>
    <t>Others (see text field entitled "Additional Information on Eligibility" for clarification) Bona fide agents of state and territorial governments State and territorial agencies have the public health authority and/or legislative mandate to conduct Universal Newborn Hearing Screening (UNHS) activities, which include monitoring and tracking the disposition of every occurrent birth in the state. This authority allows the agency or their bona fide agent to work collaboratively with multiple reporting sources, including but not limited to State vital records. Birthing facilities, Diagnostic centers, Audiologist, Early intervention services, Congenital anomaly registries, Immunization registries, and other newborn screening programs to ensure accurate monitoring and tracking of all births statewide.There are two components included in this NOFO:Component A: Improving data quality in the Early Hearing Detection and Intervention-Information System (EHDI-IS) by using data to inform interventions and building collaborations to facilitate data linkage and integration, andComponent B: Incorporating language outcomes data into the EHDI-IS by improving collaboration with early intervention services funded under Part C and other relevant partners that collect language or communication outcomes.To be eligible for Component A,  you must 1) Document that there are at least 5,000 babies born in your jurisdiction each year, 2) Document your ability to collect and report biannually all tier 1 patient-level data items found on the table below and document completeness of tier 1 variables. See the link under additional information for the list of tier 1 data items.To be eligible for Component B you must, 1) apply for Component A and 2) document your program s six-month early intervention benchmark for calendar year 2022.</t>
  </si>
  <si>
    <t>The purpose of this Notice of Funding Opportunity (NOFO) is to support jurisdictional Early Hearing Detection and Intervention (EHDI) programs to improve data quality and use of data to inform programmatic actions by examining the timeliness and completeness of the data to help all infants who are born Deaf or Hard of Hearing (D/HH) to reach the full promise of screening, diagnosis, and access to early intervention in the first 6 months of life.  Also, the NOFO will support a subset of jurisdictions to integrate language and communication status data at age 3 years within their EHDI surveillance system, enhancing their ability to monitor the impact of early diagnosis of D/HH and subsequent intervention. Specifically, the aims of this NOFO will be to 1) Boost state and local systems and support and bolster jurisdictional staff with technical expertise to develop efficient systems, analyze data, and facilitate linkages to EHDI-related data systems to address gaps in diagnosis and linkage to screening, diagnostic and early intervention services; 2)Focus on improving 1-, 3-, and 6-month data quality and systems by identifying solutions, including jurisdiction specific strategies and policies, to improve data completeness, validity of data or data linkage/integration; 3)Facilitate analysis and use of data to address gaps and disparities in timely screening, diagnosis, and enrollment in early intervention; and 4) Begin to incorporate monitoring developmental status indicator outcomes into EHDI surveillance and pilot adding language/communication developmental status data to the EHDI-IS.</t>
  </si>
  <si>
    <t>Pacific Coastal Salmon Recovery Fund (Annual Appropriations and IIJA Funds)</t>
  </si>
  <si>
    <t>Others (see text field entitled "Additional Information on Eligibility" for clarification) Eligible applicants are the States of Washington, Oregon, Idaho, Nevada, California, and Alaska, and Federally recognized tribes of the Columbia River and Pacific Coast (including Alaska).</t>
  </si>
  <si>
    <t>NOAA announces the availability of Federal funding, authorized pursuant to the Infrastructure Investment and Jobs Act, Pub. L. 117-58 (November 15, 2021), hereinafter the â€œBipartisan Infrastructure Lawâ€ or â€œBILâ€; Consolidated Appropriations Act, 2024, Pub. L. 118- 42 (March 8, 2024); Continuing Appropriations and Extensions Act, 2025, Pub. L. 118-83 (September 26, 2024), for necessary expenses associated with the restoration of Pacific salmon populations. The Pacific Coastal Salmon Recovery Fund (PCSRF) program makes such funding available to the States of Washington, Oregon, Idaho, Nevada, California, and Alaska, and federally recognized tribes of the Columbia River and Pacific Coast (including Alaska) for projects necessary for the conservation of salmon and steelhead populations listed as threatened or endangered, or identified by a State as at-risk to be so-listed; for maintaining populations necessary for exercise of tribal treaty fishing rights or native subsistence fishing; or for the conservation of Pacific coastal salmon and steelhead habitat. A federally recognized tribe is defined as an Indian or Alaska Native tribe, band, nation, pueblo, village or community that the Secretary of the Interior acknowledges to exist as an Indian tribe pursuant to the Federally Recognized Indian Tribe List Act of 1994, 25 U.S.C. Â§Â§ 5130, 5131. See Executive Order No. 13175 (2000). Native subsistence is inclusive of federally recognized non-treaty tribal salmon fisheries. This announcement outlines the priorities and guidelines that will be used to award funding to eligible entities.</t>
  </si>
  <si>
    <t>FY25 IIJA/IRA Bureau of Land Management Colorado Recreation and Visitor Services</t>
  </si>
  <si>
    <t>FY25 IIJA/IRA Bureau of Land Management California Forest and Woodlands Resource Management</t>
  </si>
  <si>
    <t>State governments Individuals and For-Profit Organizations are ineligible to apply for awards under this NOFO. 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</si>
  <si>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Funded projects under this program will focus on high priority work such as activities that promote forest and woodland health, sustainable forest management, fire resiliency, biomass utilization for bioenergy, habitat conservation needs, and insect, disease and fire recovery on public lands. These activities could include, but are not limited to: planting trees, pre-commercial and commercial thinning, salvage/sanitation forest treatments, control of competing vegetation, fuels reduction, riparian or upland restoration, project development and layout, planning analysis and document preparation needed in concert with or to carry out NEPA, Endangered Species Act or cultural clearances, data collection, and monitoring. Priority activities under this announcement include preparation, administration, or implementation projects that treat forest and woodlands nationally (see following description):1. One or more components of preparing a project (site surveys, environmental clearances, NEPA preparation, project layout, timber cruising, timber marking, boundary designation, and other tasks related to preparing a project).2. One or more components of administering a project (subcontracting, advertising for bid, awarding a subcontract or timber sale, subcontract performance inspection, and other tasks related to administering a project.3. Activities to achieve Land Management Goals (see Stewardship Manual for definition) or acres/ units of forest or woodland treatments conducted.</t>
  </si>
  <si>
    <t>FY25 IIJA/IRA Bureau of Land Management Oregon/Washington (ORWA) Recreation and Visitor Services</t>
  </si>
  <si>
    <t>Native American tribal organizations (other than Federally recognized tribal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</si>
  <si>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Rapid-Cycle Survey Collaborative for Provider and Public Input on Immunization Issues</t>
  </si>
  <si>
    <t>Public housing authorities/Indian housing authorities N/A</t>
  </si>
  <si>
    <t>The purpose of this notice of funding opportunity (NOFO) is to support a research project to obtain timely input from nationally representative samples of healthcare providers and of the public on critical immunization issues of importance to public health. The objectives of this NOFO are: (1) to conduct multiple surveys of healthcare providers and the public each year of the period of performance to collect immunization-related data using scientifically sound methods with adequate response rates that produce generalizable results, and (2) to disseminate these results broadly to assist in informing recommendations for new vaccines, developing strategies to improve immunization coverage, and instituting contingency plans to address urgent problems (e.g., vaccine supply shortages). Surveyed healthcare providers should include at a minimum: pediatricians, family physicians, obstetrician/gynecologists, general internists, and pharmacists.  Surveyed members of the public should be at least 18 years old and should include subpopulations of special interest for consideration of immunization-related issues such as pregnant women, parents of children aged 0-5 years, and persons with chronic medical conditions.</t>
  </si>
  <si>
    <t>Sustaining HIV and TB epidemic control in Lesotho through health system strengthening and technical assistance under the President's Emergency Plan for AIDS Relief (PEPFAR)</t>
  </si>
  <si>
    <t xml:space="preserve">Public housing authorities/Indian housing authorities </t>
  </si>
  <si>
    <t>The Award Ceiling for Year 1 is 0 (none). CDC anticipates an Approximate Total Fiscal Year Funding amount of $15,000,000 for Year 1, subject to the availability of funds.This NOFO aims to accelerate and sustain HIV epidemic control and reduce TB incidence through interventions to address unmet needs across the clinical cascade in four districts of Lesotho:LeribeBereaQuthingQachaâ€™s NekThe goal is to attain and sustain the UNAIDS 95-95-95 targets.We expect you to work with the Lesotho Ministry of Health (MOH) to implement evidence-based interventions and innovative strategies to strengthen the capacity of district health management teams (DHMTs), health facilities, and communities. This increased capacity will improve sustainability and person-centered health service delivery.Activities under this NOFO include strengthening health systems, continuous quality improvement (CQI), and providing technical assistance (TA) in multiple areas, including:Finding cases of HIV and TB.HIV care and treatment, including advanced HIV disease (AHD) management.Cervical cancer (CxCa) screening.Biomedical prevention interventions. For example, elimination of mother-to-child HIV transmission (EMTCT) and pre-exposure prophylaxis (PrEP).Preventing, diagnosing, and treating TB.Integrating the management of non-communicable diseases (NCDs) (such as hypertension and mental health challenges) into HIV service delivery.Interfacing with laboratory systems.Surveillance (for example, recency testing) and data use for program improvement.Our goals align with the PEPFAR 2030 strategic direction to eliminate the HIV/AIDS pandemic as a public health threat and strengthen public health systems.</t>
  </si>
  <si>
    <t>DOS-SUR</t>
  </si>
  <si>
    <t>U.S. Mission to Suriname</t>
  </si>
  <si>
    <t>Others (see text field entitled "Additional Information on Eligibility" for clarification) Past participants ( ) of U.S. government-funded and U.S. government-sponsored exchange programs</t>
  </si>
  <si>
    <t>The Embassy of the United States in Suriname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shouldâ€¯submit proposals and budget using the templates on the right of this page to paramaribo-grants@state.gov by January 15, 2025. 
PROGRAM DESCRIPTION 
AEIF provides alumni of U.S. sponsored and facilitated exchange programs with funding to expand on skills gained during their exchange experience to design and implement innovative solutions to global challenges facing their community. Since its inception in 2011, AEIF has funded over 500 alumni-led projects around the world through a competitive global competition. 
The U.S. Embassy Suriname will review applications and submit the top ranked to the global competition. To facilitate that, we are seeking expressions of interest from teams of at least two (2) alumni that support projects addressing one of these themes: 
 Enhance professionalism of media in support of the development of media freedom and journalistic professional standards. 
 Foster a greater awareness of public health issues in Suriname and connect communities to resources in support of improved physical and mental health outcomes in Surinamese society, particularly in low-income and rural communities. 
 Advance climate smart practices in Surinamese society, business, and agriculture, including the understanding and adoption of modern practices aimed at enhancing productivity, sustainability, and resilience in communities. 
 Create opportunities for people from historically marginalized and underserved communities, including minorities, migrants, LGBTQI+, and persons with disabilities to engage productively in society. 
 Promote civic and youth engagement aimed at empowering young people to become active, responsible, and inclusive leaders in their communities, including the development of entrepreneurship, the cultivation of critical STEM skills, and an emphasis on the importance of transparency in decision-making, government, and business. 
FEDERAL AWARD INFORMATION 
Closing date for statements of interest: January 15, 2025 
Funding type: Small grant awards 
Expected size of individual awards: Between $5,000 to $35,000.â€¯ 
This notice is subject to availability of funding.â€¯ 
ELIGILIBITY INFORMATION 
1. Eligible Applicants: 
The following individuals are eligible to apply: 
 Applicants must be alumni of a U.S. government-funded or sponsored exchange program (https://alumni.state.gov/list-exchange-programs). 
 Projects teams must include teams of at least two (2) alumni. 
 Alumni who are U.S. citizens may not submit proposals, but U.S. citizen alumni may participate as team members in a project. 
 Alumni teams may be comprised of alumni from different exchange programs and different countries. 
 Applications must be submitted by exchange alumni or alumni associations of USG exchange alumni. Not-for-profit, non-governmental organizations, think tanks, and academic institutions are not eligible to apply in the name of the organization but can serve as partners for implementing project activities. 
Preference will be given to teams of alumni made up entirely of/or led by alumni who have not received a grant from the Embassy or U.S. State Department in the last three years. 
2. Cost Sharing 
Inclusion of cost share is not a requirement of this opportunity. 
3. Other Eligibility Requirements 
Should the grant be processed with an organization that is a partner in the project, that organization must have a UEI, as well as a valid registration on www.SAM.gov. Organizations must have a commitment to equal opportunity employment practices and to non-discrimination practices with regard to beneficiaries, without regard to race, religion, ethnicity, gender, sexual orientation, or political affiliation. 
Individuals are not required to have a UEI or be registered in SAM.gov. 
4. Diversity, Equity, Inclusion and Accessibility (DEIA) 
Applicants should include in their proposal their plan for making their program accessible to diverse audiences, including diversity of genders, sexuality, race/ethnicity, mother language, and religion, as well as their plan for making the program accessible to people with disabilities. 
D. APPLICATION AND SUBMISSION INFORMATION 
 Address to Request Application Package: 
 Application and budget templates can be downloaded. Click on the templates link on the right of this page. 
 Content and Form of Application Submission: 
 Applications and budgets must be submitted using the official AEIF 2025 application and budget forms. 
Please follow all instructions below carefully. Proposals that do not meet the requirements of this announcement or fail to comply with the stated requirements will be ineligible. 
Please ensure: 
 The proposal clearly addresses the goals and objectives of this funding opportunity; 
 The proposal addresses all questions in the official AEIF 2025 application form; 
 All documents are in English; 
 The budget is in U.S. dollars and is submitted using the designated AEIF 2025 budget form; 
 All pages are numbered. 
The following documents and information areâ€¯required: 
 Mandatory application forms: 
 SF-424 (Application for Federal Assistance â€“ organizations) or SF-424-I (Application for Federal Assistance â€“individuals) found on the right of this page. 
 SF424A (Budget Information for Non-Construction programs) found on the right of this page. 
 SF424B (Assurances for Non-Construction programs) found on the right of this page. (note: the SF-424B is only required for individuals and for organizations not registered in SAM.gov). 
 About Your Project: Please provide information on the title of your project, the requested budget total, and the primary location of the project. Projects need to take place outside of the U.S. or its territories. 
 Project Team Information: At least two exchange alumni team members are required for a project to be considered for funding. Applications need to provide the name and contact information, describe the role each team member will have in the project, and their experience, qualifications, and ability to carry out that role. Applicants need to indicate what proportion of the team memberâ€™s time will be used in support of the project. 
 Problem Statement:â€¯A short narrative which outlines the proposed project, including challenge/s to be addressed, project objectives, and anticipated impact. 
 Project Goals and Objectives:â€¯The goal/s of the proposed project need to describe what the project is intended to achieve and include the objectives which support the goal/s. Objectives should be specific, measurable, and realistically achievable in a set time frame. 
 Project Methods, Design, and Timeline: A description of how the project is expected to work to solve the stated problem and achieve the goal/s. This should include a description of the projectâ€™s direct and indirect beneficiaries as well as a plan on how to continue the program beyond the grant period, or the availability of other resources, if applicable. The proposed timeline for the project activities should include the dates, times, and locations of planned activities and events. Applicants may also submit proposed workshop or training agendas and materials. 
 Local Project Partners:â€¯A list of partners who will support the proposed project, if applicable. 
 Communication Plan:â€¯The communication plan should include a communication and outreach strategy for promoting the proposed project. It may include social media, websites, print news, or other forms of media intended to use to share information about the project to beneficiaries and the public. Communications should include AEIF 2025, ExchangeAlumni, and U.S. Embassy branding. 
 Project Monitoring and Evaluation Plan:â€¯The Monitoring and Evaluation component of the proposal should outline in detail how the grantees will ensure that the proposed activities are happening and that they are advancing the programâ€™s goals and objectives. What milestones will the program have (i.e., participants selected, workshop completed, follow up projects begun etc.). What outcomes will you measure to show success? (i.e., a change in knowledge, awareness, and attitudes; improved quality of services; increased capacity at a school, group; etc.) Proposals should also includeâ€¯howâ€¯andâ€¯whenâ€¯the grantee will measure the impact of planned activities. Will you use quantitative or qualitative measures or a combination of both? Be specific on the method and timing of the evaluation. 
 Budget Justification Narrative:â€¯Applicants must submit a detailed budget and budget narrative justification utilizing the template provided. Line-item expenditures should be listed in the greatest possible detail. Budgets shall be submitted in U.S. dollars and final grant agreements will be conducted in U.S. dollars. 
 Attachments:â€¯Official permission letters, if required for program activities. Unique Entity Identifier and System for Award Management (SAM.gov). 
E. BUDGET RULES AND RESTRICTIONS: 
AEIF 2025 can support the funding of the following types of activities/costs: 
 Intra-regional or in-country transportation 
 Rental of venues for project activities 
 PPE and sanitizing equipment 
 Meals/refreshments integral to the project (i.e., working lunch for a meeting) 
 Reasonable costs to support virtual programming (i.e., subscription to Zoom, WebEx, camera/microphones for virtual meetings, mailing services, etc.) 
 Trainer or speaker honoraria expenses (i.e., maximum $200/day fee, travel, lodging, per diem) 
 Reasonable equipment and materials 
 Communications and publicity materials, such as manuals or project advertisements 
AEIF 2025â€¯does notâ€¯support the following activities or costs, and the selection committee will deem applications involving any of these activities or costsâ€¯ineligible: 
 Any airfare to/from the United States and its territories 
 Activities that take place in the United States and its territories 
 Staff salaries, office space, and overhead/operational expenses 
 Large items of durable equipment or construction programs 
 Alcohol, excessive meals, refreshments, or entertainment 
 Academic or scientific research 
 Charitable or development activities 
 Provision of direct social services to a population 
 Individual scholarships 
 Social travel/visits 
 Gifts or prizes 
 Duplication of existing programs 
 Institutional development of an organization 
 Venture capital, for-profit endeavors, or charging a fee for participation in project 
 Support for specific religious activities 
 Fund-raising campaigns 
 Support or opposition of partisan political activity or lobbying for specific legislation 
F. REVIEW AND SELECTION PROCESS 
Evaluation Criteria:â€¯The U.S. embassy Public Affairs Sections will use the criteria outlined below to evaluate all applications. The proposals will be reviewed by a Selection Committee made up of regional and exchange program experts located at the Department of State in Washington, DC. Panelists will use the criteria below to review and evaluate applications. 
Relevance to Application Theme 
The proposal provides sufficient information on how the activities will support the theme(s) of the competition. The narrative explains any relevant local context the D.C. Selection Committee may not be aware of in relation to this project. Proposed project ideas must be public diplomacy in nature (i.e., not development or military). 
Purpose and Summary, Description, and Implementation Plan 
When developing the purpose, summary, description, and implementation plan, applicants should aim to make all descriptions clear, concise, and compelling. Reviewers will judge the proposals based on the likelihood for the project to exert a sustained, powerful influence on the community where it is undertaken. Does the project address an important gap of understanding or need? If the aim of the project is achieved, how will existing knowledge or practice be improved? What audience do the applicants hope to reach with this project? How many will participate? How will they be selected? 
Degree of Alumni Involvementâ€¯ 
Projects must includeâ€¯the involvement ofâ€¯at least two (2) exchange alumni. Theyâ€¯mayâ€¯beâ€¯theâ€¯projectâ€¯team leadersâ€¯orâ€¯collaborate directlyâ€¯with PASâ€¯in formulating the project. More than two alumni may comprise the team, however, the minimum is two. As the team leaders, the alumni must be closely involved in project planning, implementation, etc. Applicants should ensure that the proposal includes the following information for each alumni team member: first name, last name, e-mail address, exchange program, country of citizenship, and roles and responsibilities. 
Participation and Support from Local Partners 
The proposalâ€¯demonstrates buy-in and support from the community where the project will take place.â€¯Local partnerâ€¯involvementâ€¯is a strong sign that there is community support and that the project will engage a broad array of experts, such as subject matter experts, community centers, academic institutions, businesses, local/national government, non-governmental organizations, American Spaces, etc. 
Evaluation and Impact of the Project 
A monitoring   evaluation (M E) plan is pivotal to project implementation and important trackingâ€¯progress towards the projectâ€™s objectives and goals. An M E plan should consider the data needed to effectively monitor progress toward specific outputs and outcomes as well as how that data collection will be accomplished. Well-crafted indicators should be used to understand a programâ€™s progress toward the desired results. An M E plan should be reviewed for the following: 
 Completion 
 Applicability and logic of objectives and indicators 
 Clear approach to monitoring 
 Adherence to SMART criteria 
 Feasibility of baselines and targets 
 Data quality plan 
 Capacity to implement plan 
Sustainability 
Have the applicants considered how the project will continue to have positive impact after the end of the project. 
Communication, Media, and Outreach Plan 
The project should include a clear plan and timeline for how and when the team will share information about the project with the general public or a targeted audience. It is important to ensure that the U.S. Embassy gets recognition throughout theâ€¯process, ifâ€¯circumstances permit. 
Budget and Budget Narrative 
The budget and narrative justification are sufficiently detailed. Costs are reasonable in relation to the proposed activities and anticipated results. The budget is realistic, accounting for all necessary expenses to achieve proposed activities. The results and proposed outcomes justify the total cost of the project. Budget items are reasonable, allowable, and allocable.â€¯â€¯ 
Payment Method: Payment will be made upon request (either as advance or reimbursement) by the grantee via direct deposit to a USD bank account. 
Reporting Requirements:â€¯Recipients will be required to submit financial reports and program reports, the frequency depending on the complexity of the program. 
H. FEDERAL AWARDING AGENCY CONTACTS 
Questions about the grant application process should be directed to:â€¯paramaribo-grants@state.gov 
Disclaimer: This notice is subject to availability of funding. The U.S. Embassy does not guarantee availability of funding by receiving applications under this announcement. Only successful applicants will be contacted.</t>
  </si>
  <si>
    <t>Travel, Logistics, and Training Support for INL Africa and Middle East Programs</t>
  </si>
  <si>
    <t>Nonprofits having a 501(c)(3) status with the IRS, other than institutions of higher education The following organizations are eligible to apply:_x000D_
  U.S.-based non-profit/non-governmental organizations (NGOs);_x000D_
  U.S.-based educational institutions subject to section 501(c)(3) of the U.S. tax code or section 26 US 115 of the U.S. tax code;_x000D_
  Foreign-based non-profits/non-governmental organizations (NGOs);_x000D_
  Foreign-based educational institutions</t>
  </si>
  <si>
    <t>The Bureau of International Narcotics and Law Enforcement Affairs (INL) of the U.S. Department of State seeks applications from qualified organizations to carry out a project to provide programmatic, logistical, travel, and administrative support to INL programming in Africa and the Middle East. The capacity-building program provides training and other relevant activities to appropriate participants with the overall goal of supporting the goals of the INL Functional Bureau Strategy. INL is especially interested in proposals that provide a plan for addressing the participation of persons with disabilities, including specific means, measures and corresponding targets. INL is dedicated to strengthening the rule of law and supporting civil society in building strong and resilient communities. INL plays a vital role in the development and synchronization of U.S. international anti-crime assistance.The goal of this project is to deliver prompt and efficient programmatic, logistical, travel, and administrative services (including translation and interpretation) to support INL capacity building programs in Africa and the Middle East. The selected organization will work closely with designated project managers to determine implementation needs, arrange travel and coordinate training events in a timely and efficient manner.</t>
  </si>
  <si>
    <t>Combination prevention solutions to reach epidemic control among high risk, priority populations in high burden areas in South Africa (SA) under the President's Emergency Plan for AIDS Relief (PEPFAR)</t>
  </si>
  <si>
    <t>The Award Ceiling for Year 1 is 0 (none). CDC anticipates an Approximate Total Fiscal Year Funding amount of $25,000,000 for Year 1, subject to the availability of funds.The goal of this NOFO is to provide targeted combination prevention solutions and approaches to vulnerable, high-risk priority populations, including adolescents and young people, aged between 10-24, in workplaces, schools, and communities.The NOFO aims to create demand for and support the use of the following prevention and response interventions through direct service delivery, referrals, and technical assistance:Evidence-based biomedical interventions such as:HIV testing services.Antiretroviral therapy.Pre-exposure prophylaxis (PrEP).Post-exposure prophylaxis (PEP).Condom promotion and distribution.Sexually transmitted infection (STI) screening and treatment.Sexual and reproductive health.Mental health and substance abuse screening.Psychosocial support.Minimum package of post-violence care.Behavioral interventions such as:School and community-based HIV and violence prevention, including health education for all adolescents and youth as well as community leaders, parents, and caregivers.HIV risk reduction.Structural HIV, TB, and violence interventions such as social mobilization.Youth empowerment such as:Economic strengthening.Gender norm changes.Gender-based violence (GBV) prevention.Family strengthening programs.</t>
  </si>
  <si>
    <t>Supporting sustainable, accessible, integrated and quality laboratory systems for HIV/TB and related health threats in the Republic of Kenya under the President's Emergency Plan for AIDS Relief (PEPFAR)</t>
  </si>
  <si>
    <t>The Award Ceiling for Year 1 is 0 (none). CDC anticipates an Approximate Total Fiscal Year Funding amount of $6,000,000 for Year 1, subject to the availability of funds.The goal of this NOFO is to strengthen Kenyaâ€™s healthcare system by developing sustainable, accessible, and integrated laboratory systems for HIV/TB and their related threats. Building on the past achievements of Kenya's HIV/TB programs, this NOFO aligns with the country's vision of universal health coverage and reaching the UNAIDS 95-95-95 targets. You are expected to provide technical assistance to the Ministry of Health (MOH), county governments, and PEPFAR-funded partners to help ensure universal access to timely, high-quality diagnostic services for the general population, including people living with HIV.Key strategies include:Implementing quality assurance programs.Strengthening sample referral systems.Optimizing diagnostic networks.Enhancing equipment efficiency.Leveraging information systems for improved data management and patient tracking.Prioritizing biosafety and infection prevention protocols.The activities outlined will promote HIV/TB laboratory systems integration into broader healthcare systems and improve efficiencies through innovative approaches.To ensure long-term financial stability, this NOFO aims to implement cost-recovery systems for lab services and to support local production of lab supplies. By building on existing HIV/TB program achievements, this NOFO will help sustain lasting impact, supporting Kenya's journey toward stronger, more responsive laboratory systems that can meet current and future health challenges.</t>
  </si>
  <si>
    <t>Strengthening economic analysis and capacity in support of program management for HIV, TB, and related health threats in South Africa (SA) under the President's Emergency Plan for AIDS Relief (PEPFAR)</t>
  </si>
  <si>
    <t>The Award Ceiling for Year 1 is 0 (none). CDC anticipates an Approximate Total Fiscal Year Funding amount of $400,000 for Year 1, subject to the availability of funds.The goal of this NOFO is to improve understanding of how investment and program design can make programs and services for HIV, TB, and related health issues in South Africa (SA) more efficient.The focus of this NOFO is to conduct economic analysis, evaluation, and modeling to inform program planning and resource allocation to maintain and improve the HIV related response in South Africa. It also aims to build capacity in this technical area. Additionally, this NOFO uses other economic methodologies (for example, revealed and stated preference models) to understand how key populations and individuals decide to seek and stay in care. PEPFAR SA (i.e., CDC, USAID, Peace Corps) is committed to using evidence to drive programs and priorities. This approach is part of our strategic alignment with SA institutions and efforts to build a sustainable response to HIV, TB, and related health threats. Economic evaluation, analysis, and modeling are critical components of this evidence base. These approaches are also crucial for developing sustainability frameworks and making effective decisions about resource allocation, program design, and implementation. Furthermore, economic analyses help PEPFAR SA and other partners of the government of SA understand how different program policies and implementation models affect expenditure, value, and efficiency. This understanding improves program management and efficiency to increase impact on HIV, TB, and related health issues.</t>
  </si>
  <si>
    <t>FY25 IIJA/IRA Bureau of Land Management Colorado Cultural and Paleontological Resource Management</t>
  </si>
  <si>
    <t>FY25 IIJA/IRA Bureau of Land Management California Recreation and Visitor Services</t>
  </si>
  <si>
    <t>FY25 IIJA/IRA Bureau of Land Management Colorado Forest and Woodlands Resource Management</t>
  </si>
  <si>
    <t>Native American tribal organizations (other than Federally recognized tribal governments) Individuals and For-Profit Organizations are ineligible to apply for awards under this NOFO. 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</si>
  <si>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FY25 IIJA/IRA Bureau of Land Management Oregon/Washington (ORWA) Invasive and Noxious Plant Management</t>
  </si>
  <si>
    <t>BLM Oregon/Washington (OR/WA) Invasive and Noxious Plant Management Programs work to prevent, detect, inventory, control, and monitor weed populations on public lands.Invasive species cost the public millions of dollars in control and management each year and many invasive plants and noxious weeds are highly competitive and have the ability to permanently degrade our public lands.Noxious weeds and invasive species expansion are recognized as the single greatest threat to our native plant communities and the values they provide us.These native plant communities are essential for supporting wildlife habitat, watershed function, recreation opportunities, rural economies and working landscapes.Invasive plants and noxious weeds affect plant and animal communities on farms and ranches, and in parks, waters, forests, natural areas, and backyards in negative ways.Human activity such as trade, travel, and tourism have all increased substantially, escalating the speed and volume of species movement to unprecedented levels.Increased site vulnerability from wildfires that are more frequent and other disturbances is an ongoing challenge to maintaining the integrity of our native plant communities.Noxious weeds are particularly aggressive plants legally designated by states as being injurious to public health, the environment or the economy.Invasive species and noxious weeds adversely affect overall recreational opportunities on public land i.e., hunting, fishing, camping, hiking, watershed health and ecosystem function which result in economic losses in rural and urban communities.Affect adjacent private lands, both rural and urban, causing widespread economic losses to the agricultural industry as well as to other resources.</t>
  </si>
  <si>
    <t>FY25 IIJA/IRA Bureau of Land Management Oregon/Washington (ORWA) Fuels Management and Community Fire Assistance Program Activities</t>
  </si>
  <si>
    <t>Special district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</si>
  <si>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BLM Oregon/Washington (ORWA) has an opportunity to work with partner organizations to assist with fuels management and community fire assistance program activities to reduce the risk and impact of catastrophic wildfires to local communities through coordination, reducing the amount of hazardous fuels, and furthering the education of landowners about wildfire prevention and mitigation. These activities will assist BLM in addressing the effects of climate change by working to create resilient landscapes and communities, will create jobs, and it will help further conservation and restoration efforts by providing an opportunity to support planning and implementation of hazardous fuels reduction projects in wildland urban interface (WUI) areas and education and outreach programs that help create fire adapted communities and resilient landscapes. This program supports the Infrastructure Investment and Jobs Act (IIJA) Public Law 117-58, Sec. 40803 Wildfire Risk Reduction. This program supports projects funded through the Inflation Reduction Act (IRA), Sections 50221 Resilience, 50222 Ecosystems Restoration and 50303 DOI. ORWA Program Strategic Goals: Accomplish fuels management activities on federal and non-federal land. Develop and implement fire education, training, and/or community action plans/programs. Conduct Community Wildfire Protection Plans (CWPPs), community wildfire assessments, and planning activities. Expand community capability to enhance local employment opportunities. Develop and implement short and long-term monitoring and maintenance plans for hazardous fuels reduction, community fire education and training, and community action programs.</t>
  </si>
  <si>
    <t>Strengthening the Government of Namibia s health information systems (HIS) to improve public health programs under the President's Emergency Plan for AIDS Relief (PEPFAR)</t>
  </si>
  <si>
    <t>The Award Ceiling for Year 1 is 0 (none). CDC anticipates an Approximate Total Fiscal Year Funding amount of $5,000,000 for Year 1, subject to the availability of funds.This NOFO will provide technical assistance to the Government of the Republic of Namibia GRN) to strengthen and implement HIS, monitoring and evaluation strategies, and surveillance activities to improve the quality, access, and data to control the HIV and TB epidemics. This mechanism will support the development and evolution of innovative, efficient, and sustainable systems to enhance programs and respond to evolving data needs by working with the Ministry of Health and Social Services (MOHSS), Namibia Institute of Pathology (NIP), and other stakeholders. Strategies may include: advancing data access and use across various laboratory, community, and facility-based systems;  enhancing MOHSS-led surveillance systems; strengthening MOHSSâ€™ ability to centrally store and access health data; refine unique identification for health records; introducing technology solutions to automate and improve efficiency; providing technical assistance and capacity building for GRN staff; and improving quality (i.e., timeliness, completeness, and accuracy) of data across health information and surveillance systems. The recipient will be expected to assess and bolster the existing MOHSS and NIP infrastructure, systems, and capacity. Expected outcomes are HIS and surveillance systems that facilitate data quality, access, and use to monitor and improve program outcomes and to inform national policies, guidelines, and public health response.</t>
  </si>
  <si>
    <t>FY2024 Historic Preservation Fund - Tribal Heritage Grants</t>
  </si>
  <si>
    <t>Native American tribal governments (Federally recognized) This funding opportunity is limited to Federally-recognized Tribes, Alaska Native Villages/Corporations (Tribes), and Native Hawaiian Organizations, as defined by 54 USC   300309, 54 USC 300313 and 54 USC 300314. Excluded parties:Sites or collections owned or leased by the NPS, or in which the NPS holds a property interest are not eligible for funding.</t>
  </si>
  <si>
    <t>The National Historic Preservation Act authorizes grants to federally recognized Tribes for cultural and historic preservation projects. These grants assist Tribes, Alaskan Natives, and Native Hawaiian Organizations in protecting and promoting their unique cultural heritage and traditions. From the beginning, the program has been shaped by Tribes. It focuses on what they are most concerned about protecting: Traditional skills, oral history, plant and animal species important in tradition, sacred and historic places, and the establishment of tribal historic preservation offices.</t>
  </si>
  <si>
    <t>Rural Veterans Health Access Program</t>
  </si>
  <si>
    <t>Others (see text field entitled "Additional Information on Eligibility" for clarification) Only states that are current Medicare Rural Hospital Flexibility Program award recipients under HRSA-24-002 are eligible to apply. HRSA will accept only one application from each state.</t>
  </si>
  <si>
    <t>The Rural Veterans Health Access Program (RVHAP) provides funding to states to work with providers and other key partners to support health care for veterans living in rural areas. This support includes expanding access to needed health care services and improving coordination of care. A key component of RVHAP is to facilitate coordination by the Secretary of Health and Human Services in consultation with the Department of Veterans Affairs (VA). The Federal Office of Rural Health Policy (FORHP) coordinates with the VA Office of Rural Health.</t>
  </si>
  <si>
    <t>Department of Interior (DOI), Office of Wildland Fire (OWF) - Slip-on Tanker Units</t>
  </si>
  <si>
    <t>DOI-IBC</t>
  </si>
  <si>
    <t>Interior Business Center</t>
  </si>
  <si>
    <t>Others (see text field entitled "Additional Information on Eligibility" for clarification) Eligibility is restricted to U.S. local governments that provide fire protection and other emergency services and are in need of slip-on tankers to improve the wildland firefighting readiness for their area of protection and service a location with a population of 50,000 or less. Additional details are found in the full announcement.</t>
  </si>
  <si>
    <t>Climate change is driving the devastating intersection of extreme heat, drought, and wildland fire danger across the United States, creating wildfires that move with a speed and intensity previously unseen. This has created conditions in which wildfires overwhelm response capabilities, resulting in billions of dollars in economic losses, damage to natural resources, devastation to communities, and the tragic loss of human life.The Infrastructure Investment and Jobs Act, also known as the Bipartisan Infrastructure Law (BIL), enacted in November 2021, is bringing much-needed support to communities across the country to increase the resilience of lands facing the threat of wildland fires and to better support federal wildland firefighters. The BIL provides funding and authorizes the U.S. Department of the Interior (DOI) to develop and implement a pilot program to provide local governments with financial assistance to acquire slip-on tanker units to establish fleets of vehicles that can be quickly converted to be operated as fire engines. The objective of this opportunity is to provide funding for these units that meet the required minimum specifications as outlined in Attachment 1.</t>
  </si>
  <si>
    <t>Nuclear Data Interagency Working Group (NDIAWG) Research Program</t>
  </si>
  <si>
    <t>The Nuclear Data InterAgency Working Group (NDIAWG), comprised of 16 stakeholders across the federal government that have an interest in nuclear data, invites applications in relevant research topics derived from the annual Workshop on Applied Nuclear Data Activities (WANDA) and other workshops and discussions. Since the first joint NOFO put out in 2016, over $70M have been invested in nuclear data by NP and interagency partners. This yearâ€™s NOFO partners include NP and FES from SC.</t>
  </si>
  <si>
    <t>Academy for Women Entrepreneurs (AWE) 2025</t>
  </si>
  <si>
    <t>DOS-BGD</t>
  </si>
  <si>
    <t>U.S. Mission to Bangladesh</t>
  </si>
  <si>
    <t>Others (see text field entitled "Additional Information on Eligibility" for clarification) The following organizations are eligible to apply:_x000D_
_x000D_
 	Not-for-profit organizations_x000D_
 	Civil society/non-governmental organizations _x000D_
 	Think tanks _x000D_
 	Public and private educational institutions_x000D_
 	Public International Organizations and Governmental institutions_x000D_
_x000D_
For-profit entities, even those that may fall into the categories listed above, are not eligible to apply for this NOFO.  Organizations may sub-contract with other entities, but only one, non-profit, non-governmental entity can be the prime recipient of the award. When sub-contracting with other entities, the responsibilities of each entity must be clearly defined in the proposal. For more information on the difference between sub-contract and sub-recipient, please refer to 2 CFR 200.331.</t>
  </si>
  <si>
    <t>The U.S. Embassy's Public Diplomacy Section in Dhaka invites proposals for the 2025 Academy for Women Entrepreneurs (AWE) program in Bangladesh. Eligible organizations must be legally recognized non-profits or non-governmental entities that comply with U.S. and Bangladeshi technical and legal standards for implementing Public Diplomacy programs, as outlined in Section B. The Academy for Women Entrepreneurs (AWE) equips women with the knowledge, tools, and connections needed to start and grow successful businesses. By fostering entrepreneurial skills and promoting financial independence, the program creates opportunities for women to overcome barriers to economic participation. With a focus on empowering women from underserved and marginalized communities, AWE prepares participants to thrive in the private sector and contribute meaningfully to their local economies. 
ï»¿1. Project Background, Goals, and Objectives 
The Academy for Women Entrepreneurs (AWE) was launched by the Bureau of Educational and Cultural Affairs (ECA) in 2019 to address the barriers women face in starting and scaling businesses. The program empowers women by providing access to practical, no-cost online business education and localized coaching and mentorship. It leverages platforms like DreamBuilder, created in partnership with Arizona State Universityâ€™s Thunderbird School of Global Management and the Freeport-McMoRan Foundation, and the Najafi 100 Million Learners Global Initiative to deliver flexible, high-impact training in core business skills. AWE also fosters peer-to-peer learning, mentorship, and networking opportunities with U.S. exchange alumni and local business leaders. 
In Bangladesh, AWE addresses the critical challenges women entrepreneurs encounter, such as limited access to finance, professional networks, and structured business training. These challenges are compounded by socio-economic barriers that often restrict women's participation in the economy. Previous projects have demonstrated that combining U.S.-style online learning with localized facilitation and mentorship significantly enhances participants' skills, confidence, and economic outcomes. AWE alumni have reported substantial improvements in their businesses, with 74% achieving higher incomes and 29% hiring additional staff, showcasing the program's potential to drive local prosperity. 
Participants in the AWE program will engage in facilitated in-person and virtual sessions with established Bangladeshi and U.S. entrepreneurs, alumni of U.S.-funded exchange programs, and other experts from diverse fields that enrich the program. Proposals must integrate the online interactive DreamBuilder course and may include elements from the Najafi 100 Million Learners Global Initiative curriculum, focusing on key topics in entrepreneurship and innovation. The program may be implemented in multiple locations, run cohorts of up to 30 participants, and must include a strong American component, such as U.S. experts serving as guest teachers or coaches, clearly articulated in the proposed syllabus. 
Proposals must also include engagement activities for AWE alumnae from previous years. These activities could include site visits, seed funding opportunities, exchanges, pitch competitions, fairs, networking, or other creative elements that encourage alumnae to remain connected and continue to grow their businesses. Proposals incorporating such innovative and interactive elements will be more competitive. 
Through this NOFO, the Public Diplomacy Section (PDS) seeks to expand on these successes by scaling the program's impact in Bangladesh. The goal is to empower a new generation of women entrepreneurs by equipping them with the skills, networks, and confidence needed to succeed. Success will be measured through participantsâ€™ ability to apply learned skills, increase business profitability, generate jobs, and foster resilience in the face of challenges. This initiative aims to create sustainable economic growth and promote womenâ€™s leadership in entrepreneurship, contributing to Bangladeshâ€™s broader socio-economic development. 
Project Audience(s): The Academy for Women Entrepreneurs (AWE) program targets aspiring women entrepreneurs from diverse and underrepresented backgrounds across Bangladesh. Primary beneficiaries include women from marginalized communities, rural and urban areas, and various educational and professional levels, ensuring an inclusive approach to fostering entrepreneurship. The program prioritizes those facing systemic barriers to economic participation, equipping them with skills, networks, and confidence to succeed. Some demographics to consider, include: 
Â· Gender 
Â· Geographic Location 
Â· Age Group 
Â· Level of Education 
Â· Social Class 
Â· Religious Practice 
Â· Profession 
Project Goal:  Empower the next generation of women entrepreneurs in Bangladesh by providing them with the knowledge, networks, and skills essential for business success. AWE aims to prepare women for leadership roles through a flexible educational platform, fostering connections with peers, and facilitating mentorship opportunities with accomplished female leaders in the entrepreneurial landscape. 
Project Objectives:  
Â· Objective 1: Train 25-30 aspiring women entrepreneurs from diverse and marginalized backgrounds in foundational business skills, including strategic planning, marketing, and finance, through globally recognized curricula like DreamBuilder or the Najafi 100 Million Learners Global Initiative. 
Â· Objective 2: Strengthen mentorship and peer-to-peer networks by engaging U.S. exchange alumni, local business leaders, and facilitators to provide guidance, practical support, and opportunities for collaboration among participants. 
Â· Objective 3: Empower program participants to create scalable business models, with measurable outcomes including at least 30% reporting increased income and 15% hiring additional staff within a year of program completion. 
Â· Objective 4: Foster long-term alumni engagement by organizing targeted follow-on activities such as regional summits, networking events, and skills enhancement workshops, ensuring continuous development and knowledge-sharing. 
Â· Objective 5: Promote inclusivity and diversity by ensuring that at least 50% of participants represent economically disadvantaged, rural, or minority communities, advancing equitable socio-economic development across Bangladesh. 
These objectives aim to drive sustainable economic growth, enhance gender equity, and support the U.S. Missionâ€™s goals of empowering women entrepreneurs and strengthening local and global networks.</t>
  </si>
  <si>
    <t>Eswatini- Alumni Engagement Innovation Fund 2025</t>
  </si>
  <si>
    <t>DOS-SWZ</t>
  </si>
  <si>
    <t>U.S. Mission to Eswatini</t>
  </si>
  <si>
    <t>Others (see text field entitled "Additional Information on Eligibility" for clarification)  	Alumni who participated in a U.S. government-sponsored exchange program (list of exchange programs: https://alumni.state.gov/list-exchange-programs)._x000D_
 	Alumni associations._x000D_
 	The proposed project must involve at least two U.S. government-sponsored exchange program alumni._x000D_
 	At least one of the alumni should be designated as the team lead._x000D_
 	If three or more alumni are applying together, U.S. citizen alumni may be included on alumni teams, but the team must have at least two non-U.S. citizen exchange program alumni. U.S. citizen alumni cannot be team leads on projects.</t>
  </si>
  <si>
    <t xml:space="preserve">The Department of State, U.S. Embassy Eswatini, Public Diplomacy Section (PDS) is pleased to announce the roll-out of the 2025 Alumni Engagement Innovation Fund (AEIF). The AEIF is an annual funding opportunity designed to invest in U.S. government-funded exchange participants and programs by helping alumni develop and implement projects that promote shared interests and policy objectives and benefit local communities. We invite you to submit a Statement of Interest (SOI) of no more than two pages by January 15, 2025 for projects that meet the requirements of the program (discussed in Section C below). Applicants with competitive SOIs will subsequently be notified and invited to submit full grant applications. </t>
  </si>
  <si>
    <t>FY 2025 Competitive Funding Opportunity: Technology Transfer (T2) Program</t>
  </si>
  <si>
    <t>DOT-FTA</t>
  </si>
  <si>
    <t>DOT/Federal Transit Administration</t>
  </si>
  <si>
    <t xml:space="preserve">The Federal Transit Administration (FTA) announces the opportunity to apply for a total of $5,000,000 from Fiscal Years (FY) 2022, 2023, and 2024 in Public Transportation Innovation Program (49 U.S.C. Â§ 5312) funds for a competitive cooperative agreement to develop and manage a new FTA Technology Transfer (T2) Program. </t>
  </si>
  <si>
    <t>Alumni Engagement Innovation Fund - FY25</t>
  </si>
  <si>
    <t>DOS-SDN</t>
  </si>
  <si>
    <t>U.S. Mission to Sudan</t>
  </si>
  <si>
    <t>Individuals Teams of at least two alumni</t>
  </si>
  <si>
    <t xml:space="preserve">The Office of Sudan Affairs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khartoumembassygrants@state.gov by January 31, 2025. 
AEIF provides alumni of U.S. government-sponsored exchange programs the opportunity to expand on skills gained during their exchange experiences and develop innovative public service-oriented projects that address U.S. foreign policy themes such as building civic participation; promoting good governance and resilient communities; fostering economic prosperity; empowering women and girls; advancing science, technology, health, and innovation; and promoting inclusion and educational opportunity. 
Program Objectives:  
Through this notice of funding, we are seeking proposals from exchange alumni, and we expect proposals to cover or to fall under one of the following objectives:  
Â· Promoting human rights awareness and advocacy 
Â· Promoting civic education and engagement 
Â· Promoting media capacity building 
Â· Promoting womenâ€™s leadership, entrepreneurship, and STEM 
Â· Promoting societal inclusion  
Â· Promoting peace through the arts 
Â· Promoting English language learning  
The Office of Sudan Affairs will accept public service projects proposed and managed by teams of at least two alumni that support goals in line with the objectives above. Proposals for projects inside Sudan will be accepted, as long as they provide a clear risk assessment and a monitoring plan that address security risks and contingencies given the instability of the situation in Sudan. Proposals for projects outside Sudan should provide a clear description of the beneficiaries and how the project aims to engage with them. 
A. FEDERAL AWARD INFORMATION 
Announcement posted: December 3, 2025 
Closing date for applications: January 31, 2025  
Award amounts: $5,000 to $35,000 per project  
Funding type: Overall grant making authority for this program is contained in the Mutual Educational and Cultural Exchange Act of 1961, Public Law 87-256, as amended, also known as the Fulbright-Hays Act. 
Decision date: no later than May 15, 2025 
Anticipated program start date: Between August and October 2025 
This notice is subject to availability of funding. 
Funding Instrument Type: Grant, fixed amount award 
Program Performance Period:  Proposed programs should be completed in one year or less.  
B. ELIGILIBITY INFORMATION  
1. Eligible Applicants  
The following individuals are eligible to apply: 
Â· Applicants must be alumni of a U.S. government-funded or U.S. government-sponsored exchange program (https://alumni.state.gov/list-exchange-programs). 
Â· Projects teams must include at least two alumni. 
Â· Alumni who are U.S. citizens may not submit proposals, but U.S. citizen alumni may participate as team members in a project. 
Â· Alumni teams may include alumni from different exchange programs and different countries. 
Â· Applications must be submitted by exchange alumni or associations of USG exchange alumni. No other organizations are eligible to apply. Exchange alumni may partner with not-for-profit or non-governmental organizations, think tanks, and academic institutions to implement project activities. Grants may be issued to individual alumni or partner organizations. 
2. Cost Sharing 
Inclusion of a cost sharing component in the proposal is not required. 
3. Grant Program Area  
Proposals must address one of the objectives above. Proposals that do not address one of those themes as outlined in the program objectives will be deemed ineligible. All project activities must take place outside of the United States and its territories.  
4. Other Eligibility Requirements 
To be eligible to receive an award, organizations must have a Unique Entity Identifier (UEI) number issued via www.SAM.gov, as well as a valid registration in www.SAM.gov. Individuals are not required to have a UEI or be registered in SAM.gov. 
C. APPLICATION AND SUBMISSION INFORMATION 
* Kindly see attached Application Package  
</t>
  </si>
  <si>
    <t>NSF Scholarships in Science, Technology, Engineering, and Mathematics Program</t>
  </si>
  <si>
    <t>Others (see text field entitled "Additional Information on Eligibility" for clarification) *Who May Submit Proposals: Proposals may only be submitted by the following: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For Track 1 and Track 2 proposals, the Principal Investigator must be (a) a faculty member currently teaching in an S-STEM eligible discipline, or (b) an academic administrator who has taught in one of the eligible disciplines and can dedicate the time necessary to assure project success. Projects involving more than one department within an institution are eligible, but a single Principal Investigator must accept overall management and leadership responsibility. Faculty from all departments involved must have roles in the project as either Co-Principal Investigators, other senior/key personnel, or scholar mentors. Other members of the S-STEM project senior leadership and management team may be listed as Co-Principal Investigators.
For Track 3 (Inter-institutional Consortia) projects, the Principal Investigator must be (a) a faculty member currently teaching in an S-STEM eligible discipline, (b) an academic administrator who has taught an S-STEM eligible discipline, or (c) a non-teaching institutional, educational, or social science researcher investigating questions related to low-income student success. The Principal Investigator must be able to provide the leadership and time required to ensure the success of the project. Track 3 consortium proposals must have a Principal Investigator who accepts overall management and leadership responsibility across all consortia members. Faculty from all institutions and departments involved need to have roles in the project as either Co-Principal investigators, other senior/key personnel, or scholar mentors. Other members of the S-STEM project senior leadership and management team may be listed as Co-Principal Investigators or as Principal Investigators on collaborative research proposals.</t>
  </si>
  <si>
    <t>The main goal of the S-STEM program is to enable academically talented, low-income students to pursue successful careers in promising STEM fields. Ultimately, the S-STEM program seeks to increase the number of academically promising low-income students who graduate with an S-STEM eligible degree and contribute to the American innovation economy with their STEM knowledge. Recognizing that financial aid alone cannot increase retention and graduation in STEM, the program provides awards to institutions of higher education (IHEs) not only to fund scholarships, but also to adapt, implement, and study evidence-based curricular and co-curricular[a] activities that have been shown to be effective in supporting recruitment, retention, transfer (if appropriate), student success, academic/career pathways, and graduation in STEM.
To be eligible, scholars must be domestic low-income students with academic ability, talent, or potential and demonstrated unmet financial need who are enrolled in an associate, baccalaureate, or graduate degree program in an S-STEM eligible discipline. Proposers must provide an analysis that articulates the characteristics and academic needs of the population of students they are trying to serve. NSF is particularly interested in supporting the attainment of degrees in fields identified as critical needs for the Nation. It is up to the proposer to make a compelling case that such a field serves a critical need in the United States.
[a] an activity at a school or college pursued in addition to the normal course of study.
S-STEM Eligible Degree Programs
Associate of Arts, Associate of Science, Associate of Engineering, and Associate of Applied Science
Bachelor of Arts, Bachelor of Science, Bachelor of Engineering and Bachelor of Applied Science
Master of Arts, Master of Science, and Master of Engineering
Doctoral (Ph.D. or other comparable doctoral degree)
S-STEM Eligible Disciplines
Disciplinary fields in which research is funded by NSF, including technology fields associated with the S-STEM-eligible disciplines (e.g., biotechnology, chemical technology, engineering technology, information technology, etc.).
The following degrees and disciplines areexcluded:
Clinical degree programs, including medical degrees, nursing, veterinary medicine, pharmacy, physical therapy, and others not funded by NSF, are ineligible degrees.
Programs for STEM teacher certification or licensure currently covered by the Robert Noyce Teacher Scholarship program (NOYCE) are ineligible for S-STEM funding.
Business school programs that lead to Bachelor of Arts or Science in Business Administration degrees (BABA/BSBA/BBA) are not eligible for S-STEM funding.
Masters and Doctoral degrees in Business Administration are also excluded.
Proposers are strongly encouraged to contact Program Officers before submitting a proposal if they have questions concerning degree or disciplinary eligibility.
The S-STEM program particularly encourages proposals from 2-year institutions, Minority Serving Institutions (MSIs), predominately undergraduate institutions, and urban, suburban, and rural public institutions.</t>
  </si>
  <si>
    <t>Provide technical assistance (TA) to support the Botswana Ministry of Health (MOH) implement policies and programs across the HIV clinical and prevention cascade under the President s Emergency Plan for AIDS Relief (PEPFAR)</t>
  </si>
  <si>
    <t>The Award Ceiling for Year 1 is 0 (none). CDC anticipates an Approximate Total Fiscal Year Funding amount of $7,500,000 for Year 1, subject to the availability of funds.This NOFO will provide tailored TA to the Botswana MOH to implement policies and quality programs that sustain the HIV/TB response and address equity gaps in priority populations. The NOFO aims to improve targeted HIV:Capacity building and mentorship.Case-finding.Prevention.Care and treatment.Continuity of care and viral load suppression. Activities include:HIV diagnosis, linkage, and continuity of stigma-free care and treatment.TB symptom screening, diagnostic evaluation, and prevention among people living with HIV.Advanced HIV disease management that includes the prevention and treatment of co-morbidities.Strengthening and leveraging primary health care (PHC) to support sustainability and integration of non-communicable diseases (NCDs) and HIV care, especially among people living with HIV.Cervical cancer prevention among women living with HIV.Targeted and stigma-free HIV prevention interventions, including but not limited to:Access and use of pre-exposure prophylaxis (PreP) and post-exposure prophylaxis.Screening for and providing support for people who have experienced gender-based violence (GBV).Youth responsive health services for adolescent girls and young women.Key population competent services.Training and mentorship for healthcare workers (HCW) in all HIV programs.Development and implementation of innovations, policies, and guidelines needed to sustain HIV epidemic control.</t>
  </si>
  <si>
    <t>Implementation of integrated, resilient, and sustainable health systems for HIV/TB epidemic control in the Republic of Kenya under the President's Emergency Plan for AIDS Relief (PEPFAR)</t>
  </si>
  <si>
    <t>The Award Ceiling for Year 1 is 0 (none). CDC anticipates an Approximate Total Fiscal Year Funding amount of $6,000,000 for Year 1, subject to the availability of funds.The goal of this NOFO is to support Kenya's health programs by strengthening resilient, integrated, and sustainable health systems. The NOFO builds on the achievements of Kenya's HIV/TB program and aligns with the country's vision of universal health coverage (UHC) and meeting and maintaining the UNAIDS 95-95-95 targets.You will provide support for HIV/TB and associated comorbidities at the national and county levels to enhance:Leadership.Governance.Health financing.Human resources for health (HRH).Supply chain management systems.By integrating HIV services into broader healthcare systems, this NOFO will contribute to  improving efficiencies through innovative approaches. Collaboration with program managers and technical experts will ensure universal access to timely, high-quality health services.Focus populations include:The general population.People living with HIV/TB, and related health conditions.National and county leaders.And facility and community-based health workforce.By adopting an approach of integrating the HIV program into a strengthened healthcare system, this NOFO aims to create a strong, efficient, and sustainable healthcare infrastructure in Kenya. This approach will enhance the country's current capacity for comprehensive HIV/TB services while advancing toward UHC.</t>
  </si>
  <si>
    <t>Strengthening the Botswana Ministry of Health (MOH) laboratory and health systems through technical assistance (TA) to effectively manage and sustain a quality HIV/TB program in Botswana under the President s Emergency Plan for AIDS Relief (PEPFAR)</t>
  </si>
  <si>
    <t>The Award Ceiling for Year 1 is 0 (none). CDC anticipates an Approximate Total Fiscal Year Funding amount of $3,000,000 for Year 1, subject to the availability of funds.This NOFO aims to strengthen MOH health systems to manage and sustain quality HIV/TB programs. This NOFO will also support the MOH in building capacity to address gaps in laboratory diagnostics, quality management systems, and Botswana Public Health Institute (BPHI) outbreak management. Activities will result in high-quality sustainable HIV-related laboratory-based testing and point of care testing (POCT), resilient laboratory systems capable of responding to HIV/TB and related public health threats, and quality management systems for continuous quality improvement (CQI) of HIV/TB-related activities. This NOFO is expected to support international accreditation of selected laboratories and ensure laboratories and testing sites adhere to national policies and guidelines. This NOFO will support the sustainability of laboratory service capacity through surveillance for timely intervention, multi-disease testing, and HIV/TB resource use through adaptation of activities by local entities.</t>
  </si>
  <si>
    <t>Provide technical assistance to the Botswana Ministry of Health to implement HIV/TB policies and services for children and adolescents living with HIV including mental health and psychosocial support and pregnant and breastfeeding women under PEPFAR</t>
  </si>
  <si>
    <t>The Award Ceiling for Year 1 is 0 (none). CDC anticipates an Approximate Total Fiscal Year Funding amount of $1,500,000 for Year 1, subject to the availability of funds.This NOFO will provide technical assistance (TA) to the Botswana Ministry of Health (MOH) to implement national HIV policies and provide comprehensive and quality care and treatment (C&amp;T) services across the clinical cascade. This includes, but is not limited to, provision of quality HIV/TB services including mental and psychosocial support for adolescents and young people living with HIV, and TA for quality services for pregnant and breastfeeding women and their children. This NOFO aims to strengthen MOH capacity to address HIV/TB data quality issues among children and adolescents and young people to close the UNAIDS 95-95-95 target gaps. Our goal is to address case finding and C&amp;T gaps that exist among these populations. NOFO activities will include:Providing capacity building and clinical mentorship for healthcare workers (HCW) to provide quality HIV/TB service delivery for children, adolescents, and pregnant and breastfeeding women.Integrating mental health and psychosocial support into routine HIV/TB services to ensure adolescents and young people living with HIV receive comprehensive care and support.Developing and implementing national policies to improve quality of HIV/TB programs, healthcare outcomes, and enhance access to C&amp;T services. This NOFO aims to reduce morbidity and mortality of HIV/TB and attain the UNAIDS 95-95-95 targets among children and adolescents through optimizing case finding and C&amp;T services.</t>
  </si>
  <si>
    <t>Strengthening comprehensive HIV and TB services and health systems in high-burden areas of Namibia under the President's Emergency Plan for AIDS Relief (PEPFAR)</t>
  </si>
  <si>
    <t>The Award Ceiling for Year 1 is 0 (none). CDC anticipates an Approximate Total Fiscal Year Funding amount of $15,000,000 for Year 1, subject to the availability of funds.This NOFO aims to enhance comprehensive HIV and TB services and systems in high-burden areas of Namibia by supporting facility- and community-based service delivery for HIV, TB, and associated comorbidities.You will support the Ministry of Health and Social Services (MOHSS) in overseeing and monitoring government-led programs, including quality management, mentorship, monitoring and evaluation, surveillance through routine data, and public health response.Comprehensive support includes:Enhanced HIV service delivery for adult and pediatric patients.Strengthened TB prevention, diagnosis, and treatment.Elimination of mother-to-child transmission.Improved cervical cancer prevention, screening, and treatment.Established site-level supply chain monitoring, including:Laboratory systems strengthening.Human resources for health (HRH).Enhanced differentiated service delivery (DSD) models.Strengthened surveillance of routine HIV, TB, and associated comorbidities.Improved MOHSS health information systems (HIS) use.Expected outcomes include:Decreased HIV and TB incidence.Improved government health data quality, access, and use.Efficient resource mobilization, particularly financial, HRH, and supply chain with an optimized workforce.Consistent availability of critical commodities at site level.Full DSD model implementation.Enhanced host government capacity to respond to HIV, TB, and related health threats.Strengthened government capacity to sustain the response.</t>
  </si>
  <si>
    <t>USAID SUstaining Control of the HIV Epidemic through quality Services, resilient Systems, and Community Outreach (SUCESSO) _ Sofala   Niassa</t>
  </si>
  <si>
    <t>Others (see text field entitled "Additional Information on Eligibility" for clarification) Eligibility for this award is restricted to local organizations.</t>
  </si>
  <si>
    <t>USAID Sustaining Control of the HIV Epidemic through quality Services, resilient systems, and Community Outreach (SUCESSO) - Tete   Manica</t>
  </si>
  <si>
    <t>FY 2025 Request for Concept Notes for NGO Programs Benefitting Refugees in Ethiopia, Kenya, and South Sudan</t>
  </si>
  <si>
    <t>Others (see text field entitled "Additional Information on Eligibility" for clarification) Nonprofits having a 501(c)(3) status with the IRS, other than institutions of higher education_x000D_
 _x000D_
Nonprofits that do not have a 501(c)(3) status with the IRS, other than institutions of higher education International Organizations.  _x000D_
_x000D_
International multilateral organizations, such as United Nations agencies, should not submit proposals through Grants.gov in response to this Notice of Funding Opportunity announcement.  Multilateral organizations that are seeking funding for programs relevant to this announcement should contact the PRM Program Officer (as listed below) on or before the closing date of the funding announcement</t>
  </si>
  <si>
    <t>The Bureau of Population, Refugees and Migration (PRM) seeks concept notes for humanitarian assistance activities in Ethiopia, Kenya and South Sudan, focusing on various sectors such as education, health, protection and WASH. This document outlines the eligibility criteria, program sectors for each country, and application process for interested organizations. Concept notes must target at least 50 percent of their participants as refugees or returnees and should incorporate protection activities across all sectors. The solicitation process is two fold: submission of concept notes followed by full proposals for selected organizations. Separate concept notes must be submitted for each country program. The amount of funding available per award will be determined based on applications received and appropriations made available. Eligible applicants include U.S. based and overseas based non profits with proof of non profit status, and international organizations.</t>
  </si>
  <si>
    <t>Office of Special Education and Rehabilitative Services (OSERS): Office of Special Education Programs (OSEP): State Personnel Development Grants (SPDG) Program, Assistance Listing Number 84.323A</t>
  </si>
  <si>
    <t>State governments 1. Eligible Applicants: An SEA of one of the 50 States, the District of Columbia, or the Commonwealth of Puerto Rico or an outlying area (United States Virgin Islands, Guam, American Samoa, and the Commonwealth of the Northern Mariana Islands).    Note: Public Law 95-134, which permits the consolidation of grants to the outlying areas, does not apply to funds received under this competition.</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</si>
  <si>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SPDG program is to assist State educational agencies (SEAs) in reforming and improving their systems for personnel preparation and professional development in early intervention, educational, and transition services to improve results for children with disabilities. 
Assistance Listing Number (ALN) 84.323A</t>
  </si>
  <si>
    <t>Artificial Intelligence in Pre-clinical Drug Development for AD/ADRD (R01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</si>
  <si>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</si>
  <si>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This NOFO invites applications that apply existing or newly developed artificial intelligence and machine learning methods (AI/ML) to various aspects of drug discovery and preclinical drug development to accelerate the identification, optimization, and selection of preclinical drug candidates for the treatment and prevention of Alzheimers disease (AD) and AD-related dementias ADRD and increase their likelihood of success during clinical drug development.This program will also create advanced open-source analytical tools that will be made available to researchers in academia and biotech/pharma for more effective prosecution of AD/ADRD drug discovery campaigns for novel targets.</t>
  </si>
  <si>
    <t>Strengthening civil society organizations' capacity and coordination to accelerate HIV epidemic control in Uganda by implementing comprehensive HIV/AIDS prevention and treatment for key and priority populations under PEPFAR</t>
  </si>
  <si>
    <t>The Award Ceiling for Year 1 is 0 (none). CDC anticipates an Approximate Total Fiscal Year Funding amount of $10,000,000 for Year 1, subject to the availability of funds.A key PEPFAR priority is ensuring human rights and leaving no one behind. To achieve this priority, itâ€™s critical for all sub-populations to attain the UNAIDS 95-95-95 targets to reach epidemic control by 2030.This NOFO aims to reach populations that are at the highest risk of HIV in Uganda, including:Key populations: female sex workers, men who have sex with men, people who inject drugs, and transgender persons.Priority populations: fisher folk and truckers.Adolescent girls and young women.However, existing interventions and programs meant to reach key and priority populations are missing the mark.This NOFO supports civil society organizations (CSOs) in providing services that focus on increasing the access of key and priority populations to HIV prevention, care, and treatment.This NOFO builds on lessons from the Local Capacity Initiative and Key Populations Investment Fund. It aims to:Address legal, policy, and structural barriers that limit access to services.Improve the capacity of CSOs to work effectively with CDC-funded implementing partners, the Ministry of Health (MoH), and other relevant government ministries to provide comprehensive HIV/AIDS services.</t>
  </si>
  <si>
    <t>Behavioral Health Workforce Development Technical Assistance Program</t>
  </si>
  <si>
    <t>Independent school districts Types of eligible organizations If otherwise eligible, these types of domestic* organizations may apply. Public institutions of higher education. Private nonprofit institutions of higher education. Nonprofits with or without a 501(c)(3) IRS status. State, county, city, township, and special district governments, including the District of Columbia, domestic territories, and freely associated states. Faith-based and community-based organizations. Native American tribal governments. Native American tribal organizations. Current BHWD TA program recipient - The current BHWD TA program recipient, whose funding ends on August 30, 2025, may apply as a competing continuation applicant. *Domestic means located in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</si>
  <si>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BHWD TA program is to support recipients of HRSAâ€™s BHWD programs, including, Behavioral Health Workforce Education and Training Program for Professionals, Behavioral Health Workforce Education and Training Program for Paraprofessionals, and Graduate Psychology Education program, and future BHWD program recipients.[1] The TA will help programs expand the number of highly trained behavioral health providers across the nation.</t>
  </si>
  <si>
    <t>Supporting the implementation of comprehensive HIV prevention and treatment programs to achieve and sustain epidemic control in Zimbabwe under the President's Emergency Plan for AIDS Relief (PEPFAR)</t>
  </si>
  <si>
    <t>The Award Ceiling for Year 1 is 0 (none). CDC anticipates an Approximate Total Fiscal Year Funding amount of $10,000,000 for Year 1, subject to the availability of funds.You will support the Zimbabwe Ministry of Health and Child Care (MoHCC) to deliver HIV services, including:Differentiated HIV prevention, testing, linkage to treatment, and retention in care.Viral load (VL) monitoring.Advanced HIV disease (AHD) management.Non-communicable disease (NCD) prevention and control.TB-HIV program collaboration.Gender-based violence (GBV) response, including post-violence care.Cervical cancer screening and treatment.Your work will focus on these key priorities:Keep people living with HIV on treatment.Close HIV diagnosis and VL suppression gaps among priority populations.Improve access to prevention services for key populations (Female sex workers, men who have sex with men, transgender people, people in prisons and people who inject drugs), children, adolescent girls and young women, and men at high risk for HIV.Improve TB and HIV service delivery quality.Improve screening for cervical cancer and treatment of pre-cancerous lesions among people living with HIV.Eliminate mother-to-child transmission of HIV, viral hepatitis, and syphilis.You will work in CDC-supported provinces (Mashonaland West, Mashonaland East, Mashonaland Central, Harare and Matabeleland North):Scale up differentiated service delivery models like community posts to reach priority populations (for example, men, young people, key populations) with HIV services.Engage faith communities and civil society to support health promotion, health education, and HIV service delivery.Set up and support community posts to deliver comprehensive HIV services and community-led initiatives.</t>
  </si>
  <si>
    <t>Strengthening and modernizing sustainable public health systems and workforce in Uganda for data science, informatics, surveys, and surveillance for timely, accurate, and integrated data for action under PEPFAR</t>
  </si>
  <si>
    <t>The Award Ceiling for Year 1 is 0 (none). CDC anticipates an Approximate Total Fiscal Year Funding amount of $20,000,000 for Year 1, subject to the availability of funds.This NOFO focuses on working with the Government of Uganda (GOU) and the Ministry of Health (MOH) as a primary partner to strengthen and modernize data systems and workforce, enabling more timely and integrated data for high-quality, data-driven decision-making.This NOFO will also focus on building capacity and data infrastructure to provide timely epidemic intelligence for critical decision-making for HIV and related health programs in Uganda. Data will be collected through general or targeted surveys, clinical surveillance, disease surveillance, and other data-collection activities to address data or knowledge gaps. Note: this NOFO will not fund research activities.</t>
  </si>
  <si>
    <t>Support for laboratory diagnosis and monitoring to scale up and improve HIV/AIDS care and treatment services for Caribbean countries supported under the President's Emergency Plan for AIDS Relief (PEPFAR)</t>
  </si>
  <si>
    <t>The Award Ceiling for Year 1 is 0 (none). CDC anticipates an Approximate Total Fiscal Year Funding amount of $1,500,000 for Year 1, subject to the availability of funds.Access to high-quality laboratory diagnostic services is key to the success of public health programs designed to address HIV, TB, and related testing.Over the years, the Centers for Disease Control and Prevention (CDC) has provided targeted technical assistance to laboratories in the Caribbean region. This work strengthened laboratory systems and services, including capacity building of laboratory staff and the accreditation of twelve public health laboratories.Despite these achievements, there is still work to achieve efficient and sustainable laboratory systems. Increased support is needed to build and sustain laboratory capacity and improve timely diagnostics, monitoring services, and scale-up of care and treatment programs for HIV, TB, STIs, and related diseases.This NOFO builds on CDCâ€™s previous work and lessons learned from our work with Jamaica and Trinidad and Tobagoâ€™s ministries of health (MOHs), with a focus on:Supporting and achieving accreditation of public health laboratories in the region.Strengthening the laboratory workforce through in-service training.Supporting laboratory information system expansion and integration with health information systems.Strengthening HIV/TB-related testing and diagnostic capacity for opportunistic infections.Building efficient laboratory programs to support HIV-related diagnostic and monitoring services in PEPFAR-supported countries in the region.</t>
  </si>
  <si>
    <t>AEIF 2025 San Salvador</t>
  </si>
  <si>
    <t>Others (see text field entitled "Additional Information on Eligibility" for clarification) Applicants must be alumni of a U.S. government funded or U.S. government sponsored exchange program</t>
  </si>
  <si>
    <t>The Embassy of the United States in El Salvador announces an open competition for past participants of US government sponsored exchange programs, to submit applications for the 2025 Alumni Engagement Innovation Fund. This funding opportunity will accept proposals for alumni led projects with the goal of promoting economic prosperity, entrepreneurship, climate investment, and partnership in El Salvador</t>
  </si>
  <si>
    <t>FY25 IIJA/IRA Bureau of Land Management California Threatened and Endangered Species Program</t>
  </si>
  <si>
    <t>Special district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</si>
  <si>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BLM California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California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</si>
  <si>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Research to Address Systemic and Structural Barriers and Facilitators to Improve the HIV Pre-Exposure Prophylaxis (PrEP) Care Continuum for People Who Use Substances (R34 Clinical Trials Required)</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</si>
  <si>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</si>
  <si>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Pre-exposure prophylaxis, also known as PrEP, is a safe, highly effective medication for preventing transmission of HIV from sex or injection drug use. Despite PrEPs high efficacy and its availability for over a decade, the awareness, uptake, and adherence of PrEP, especially among people who use substances remain suboptimal. The goal of this concept is to support research to examine and address systemic and structural factors that impede or facilitate the PrEP awareness, uptake, and adherence, among people who use substances. Projects will develop, implement, and evaluate effective strategies that meet the needs of people who use substances to improve the PrEP care continuum.</t>
  </si>
  <si>
    <t>Research to Address Systemic and Structural Barriers and Facilitators to Improve the HIV Pre-Exposure Prophylaxis (PrEP) Care Continuum for People Who Use Substances (R01 Clinical Trials Required)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</si>
  <si>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</si>
  <si>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FY25 IIJA/IRA Bureau of Land Management Colorado Aquatic Resource Management</t>
  </si>
  <si>
    <t>Public and State controlled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</si>
  <si>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Managementâ€™s (BLM) Colorado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Colorado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External Involvement: Consult, coordinate, cooperate, and collaborate with federal, state, tribal, and local governments and other programs, partners, and communities, to foster adaptive approaches to protection and restoration and implement education and outreach programs.The BLM Colorado Aquatic Resources Program continues to advance the Department of the Interior's priorities to address the climate crisis, restore balance on public lands and waters, advance environmental justice, and invest in a clean energy future. The BLM Colorado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t>
  </si>
  <si>
    <t>UMRS Forest Resources Inventory and Analysis</t>
  </si>
  <si>
    <t xml:space="preserve">Others (see text field entitled "Additional Information on Eligibility" for clarification) This opportunity is restricted to non-federal partners of the Great Rivers Cooperative Ecosystems Studies Unit (CESU)._x000D_
_x000D_
Disclosures of current and pending support made in this application may render an applicant ineligible for funding. Prior to award and throughout the period of performance, ERDC may continue to request updated continuing and pending support information, which will be reviewed and may result in discontinuation of funding. _x000D_
_x000D_
Religious organizations are entitled to compete on equal footing with secular organizations for Federal financial assistance as described in E.O. 13798,  Promoting Free Speech and Religious Liberty. </t>
  </si>
  <si>
    <t xml:space="preserve">	Forest resource data collection and data analysis is necessary in order to develop forest management objectives at a stand, management area, river reach, and river system scale. Information gained from this project will be utilized to assist in making forest management decisions and assess changes in forest resources. An initial forest resource survey has been completed for all of the Rivers Project Office lands and a second inventory completed for Pool 24. A comprehensive analysis and comparison of the two iterations of data has also been completed for Pool 24. Year 1 of this project will focus on additional forest inventories in Pool 25 of the Mississippi River. Year 2 will focus on additional forest inventories as well as a similar comparative analysis of the two iterations of forest inventory data in Pool 25. There is the potential requirement for additional forest inventories to take place to aid with data analysis, focusing on Mississippi River Pools 25, 26, and the Open River and the lower Illinois River.	Monitoring forest conditions following forest management actions is important to evaluate their effectiveness. Forest management has been conducted by USACE on the UMRS for over 30 years, but follow-up monitoring has been lacking. Completed forest management actions include reforestation, interplanting, timber stand improvement (TSI), prescribed burning, and invasive species treatment. This project will include conducting forest management actions and evaluating the effects of those actions on forest stand health, composition, and regeneration.	This project will also take advantage of lessons learned from recent forest management projects to refine and enhance the Upper Mississippi River Systemic Forest Stewardship Plan (Guyon et al., 2012). This plan is the guiding document used by USACE foresters on the Upper Mississippi River in developing synchronized forest management plans and prescriptions. Revision of this plan will include more detailed R D to develop desired forest conditions for different floodplain forest communities and stand structure and how this will meet the habitat requirements of species of concern. Identification of specific wildlife habitat requirements will be needed for species of concern to ensure that wildlife management objectives are being met through an active forest management program.	Invasive species are one of the largest threats to habitat integrity of the floodplain forest resource. One example of these threats is Japanese hops. It is an annual invasive species that has greatly expanded its dominance in the floodplain over the past ten years. Hops grows rapidly and will completely dominate a forest canopy gap, greatly reducing natural reforestation. This project will look to identify innovative and economically feasible means to quickly reforest canopy gaps to reduce the impact of invasive species such as Japanese hops or reed canary grass. This project will also describe the current and projected impact of the Emerald Ash Borer on green ash, the second most dominant tree within RPO management areas. The objective will be the development of a Special Status Report that describes the impact following the loss of green ash from floodplain forests and potential for Japanese hops or other invasives to dominate the resulting canopy gaps.</t>
  </si>
  <si>
    <t>Strengthening comprehensive HIV prevention interventions in Malawi under the President's Emergency Plan for AIDS Relief (PEPFAR)</t>
  </si>
  <si>
    <t>The Award Ceiling for Year 1 is 0 (none). CDC anticipates an Approximate Total Fiscal Year Funding amount of $5,000,000 for Year 1, subject to the availability of funds.This NOFO will support the Ministry of Health (MOH) to scale comprehensive HIV prevention interventions in select Malawi districts that have high HIV incidence, prevalence, and large gaps in HIV testing. Implementing a comprehensive HIV prevention program promotes a combination of biomedical, behavioral, and structural interventions to meet the HIV prevention needs of specific population groups and communities.The provision of combined HIV prevention interventions aim to:Provide a broad range of options to the focus populations based on the HIV risk factors.Promote an enabling environment for service uptake.Promote the adoption of positive behaviors to reduce HIV risk factors.The goal is to reduce the number of new infections through person-centered activities with a greater sustained impact.</t>
  </si>
  <si>
    <t>FY25 IIJA/IRA Bureau of Land Management Oregon/Washington (ORWA) Youth Conservation Corps</t>
  </si>
  <si>
    <t>Nonprofits that do not have a 501(c)(3) status with the IRS, other than institutions of higher education Individuals and for-profit organizations are ineligible to apply for awards under this NOFO.This program NOFO supports entities recruiting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t>
  </si>
  <si>
    <t>The Oregon/Washington (ORWA) Bureau of Land Management (BLM) offices have collaborated with Qualified Youth and Conservation Corps, as authorized by the Public Lands Corps Act (PLC), to accomplish conservation projects for numerous years. This programâ€™s projects provide employment for participants and opportunities to gain work experience in public lands and natural resources management. Through their BLM experience, youth gain an appreciation for public lands, learn about conservation-related careers, and become the next generation of public lands stewards. The BLM Youth Program also helps diversify the BLM workforce while exposing participants to complex cultural and natural resource issues. The BLM Youth Program partners with qualified youth and conservation corps through the Public Lands Corp (PLC) Program to engage individuals between the ages of 16 and 30 (inclusive) and veterans up to age 35 (inclusive) including tribal members. Recruitment efforts should focus on young, diverse people from local communities to assist with conservation projects that protect and promote multiple-use on public lands.  Projects available under the PLC Program are developed in collaboration with the State Youth Program Lead and District/Field Office project coordinators. The projects emphasize engagement in on-the-ground projects, training, and mentorship opportunities for participants. These projects create jobs that strengthen Americaâ€™s economy and foster relationships with youth conservation corps organizations striving for balanced stewardship and use of public lands. Participants are mentored by BLM professionals, acquire new skills, and gain experience in natural and cultural resource management. Proposed projects within this funding opportunity notice will support the American Climate Corps (ACC) initiative. Proposed projects may also incorporate the goals of the Indian Youth Service Corps Program through outreach to Indian tribes and tribal-serving youth corps organizations and the Indian Youth Service Corps (IYSC) initiative. Youth participants will have opportunities to help build a clean energy and climate-resilient future in their own communities and across the nation. They will also be able to address racial inequity by increasing opportunities for qualified youth, which will  benefit  members of  Indian tribes.Projects will include the following:Enhancement of recreation opportunities through trail building, maintenance and restoration, and other improvements to visitor and recreation facilities (e.g. kiosks, campgrounds, signage etc.).Monitoring riparian area vegetation and hydrological functions, collecting soil and stream data as well as, timber stand improvement projects for wildlife habitat and overall forest health.Habitat restoration and wildlife protection, including reduction of invasive species, tree planting, fence removal/installation, riparian area restoration, etc.Development and implementation of natural and cultural resource stewardship plans or educational materials for visitors.Studies such as resource inventories, historic or archival research, archaeological excavation or stabilization, oral histories, historic preservation, habitat surveys, etc.Preservation of cultural resources, including historic structures.Seed collection for restoration of lands affected by natural disastersReduction of wildfire risk to communities, watersheds, and other public land ecosystems.Production of materials and programs on natural, cultural, and/or paleontological resources, communication, education, and interpretation of natural and cultural resources.In-house projects, such as science, policy, or program internships, with a clear benefit for natural or cultural resources. In-house projects must  include a field component of at least 120 hours.</t>
  </si>
  <si>
    <t>FY25 IIJA/IRA Bureau of Land Management Colorado Plant Conservation and Restoration Management</t>
  </si>
  <si>
    <t>Nonprofits that do not have a 501(c)(3) status with the IRS, other than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Units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</si>
  <si>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Colorado Plant Conservation and Restoration Program advances the Department of the Interior's priorities to address the climate crisis, restore balance on public lands and waters, advance environmental justice, and invest in a clean energy future. In 2025 the Colorado BLM is focused on meeting the priorities of the National Seed Strategy (www.blm.gov/seedstrategy).The BLM Colorado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Colorado BLM has opportunities to work with partner organizations to do activities such as:Reduce the threats to sage grouse, rare plants, and other sensitive species in high priority habitats by supporting efforts to restore habitat for keystone wildlife and pollinator .Working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</si>
  <si>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FY25 IIJA/IRA Bureau of Land Management Colorado Threatened and Endangered Species Program</t>
  </si>
  <si>
    <t>The BLM Colorado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Colorado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</si>
  <si>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FY25 IIJA/IRA Bureau of Land Management Colorado Wildlife Program</t>
  </si>
  <si>
    <t>The BLM Colorado Wildlife Program advances the Department of the Interior's priorities to address the climate crisis, restore balance on public lands and waters, advance environmental justice, and invest in a clean energy future. Specific BLM Colorado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Colorado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</si>
  <si>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In Vivo Non-Invasive Optical Imaging Approaches for Biological Systems (UG3/UH3 Clinical Trials Not Allowed</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</si>
  <si>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Hispanic-serving Institutions; Historically Black Colleges and Universities (HBCUs); Tribally Controlled Colleges and Universities (TCCUs) ; U.S. Territory or Possession; Non-domestic (non-U.S.) Entities (Foreign Organizations) are not eligible to apply.</t>
  </si>
  <si>
    <t>The purpose of the Advancing Non-Invasive Optical Imaging Approaches for Biological Systems initiative is to overcome the problem of light scattering in biological systems.  Current optical imaging techniques that are non-invasive and allow rapid assessment of tissue function and structure suffer from strong light scattering within biological tissues, limiting the penetration depth and resolution. This funding opportunity encourages development of next-generation non-invasive or minimally-invasive optical imaging techniques to overcome these issues and to allow deeper imaging of biological systems with high spatial and temporal resolution.</t>
  </si>
  <si>
    <t>NSF/CASIS Collaboration on Tissue Engineering and Mechanobiology on the International Space Station (ISS) to Benefit Life on Earth</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</si>
  <si>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and any co-PIs must qualify as a United States citizen or alien admitted for permanent residence in the United States, and any corporation, partnership, or other organization organized under the laws of the United States.</t>
  </si>
  <si>
    <t>The Divisions of Chemical, Bioengineering and Environmental Transport (CBET) and Civil, Mechanical, and Manufacturing Infrastructure (CMMI) in the Engineering Directorate of the National Science Foundation (NSF) are partnering with the Center for the Advancement of Science in Space, Inc. (CASIS) to solicit research projects in the fields of tissue engineering and mechanobiology that can utilize the International Space Station (ISS) National Lab to conduct research that will benefit life on Earth. Topics must fit the scope of either the Biomechanics and Mechanobiology Program or the Engineering of Biomedical Systems Program and must address fundamental engineering gaps. For utilization of the ISS National Lab through this solicitation, individuals and entities must qualify as a United States citizen or alien admitted for permanent residence in the United States, or as a corporation, partnership, or other organization organized under the laws of the United States, respectively.</t>
  </si>
  <si>
    <t>Alumni Engagement Innovation Fund  2025 (AEIF 2025)</t>
  </si>
  <si>
    <t>DOS-QAT</t>
  </si>
  <si>
    <t>U.S. Mission to Qatar</t>
  </si>
  <si>
    <t>Others (see text field entitled "Additional Information on Eligibility" for clarification) Applicants must be Qatari citizen or Third Country Nationals who are based in Qatar.
Applicants must be alumni of a U.S. government-funded or sponsored exchange program (https://j1visa.state.gov/). 
Projects teams must include at least two (2) alumni.
Team members can be members of more than one project. A team member can be part of multiple teams.
Alumni who are U.S. citizens may not submit proposals, but they can participate as team members in a project.
Alumni teams may be comprised of alumni from different exchange programs and different countries.
Exchange alumni can partner with not-for-profit or non-governmental organizations, think tanks, and academic institutions to implement project activities.  The grant can be issued to the individual alumni or the partner organization.</t>
  </si>
  <si>
    <t>U.S. Embassy Doha invites past participants (â€œalumniâ€) of U.S. government-sponsored Exchange programs to apply for the Alumni Engagement Innovation Fund 2025 (AEIF 2025).  Proposals must include teams of at least two alumni that meet all program eligibility requirements.  AEIF provides alumni with funding to expand on skills gained during their exchange experience to design and implement innovative solutions to global challenges facing their community. 
U.S. Embassy Doha will accept projects proposed and managed by teams that include at least two (2) alumni and support the following objectives:
â€¢	Bringing alumni together from different exchange programs to build and expand alumni networks and to increase regional and global alumni collaboration.
â€¢	Encouraging the local population to act against Climate Change, including crafting creative solutions to environmental challenges, green energy, and climate change adaptation.
â€¢	Supporting entrepreneurship, innovation, and STEM fields to expand economic empowerment of Women, Youth, and Underserved Populations.
â€¢	Encouraging youth to participate in civic life through social entrepreneurship, volunteerism, and community engagement.
â€¢	Encouraging students to choose the United States for their educational needs and for English language learning.
Proposals that do not address these objectives will be deemed ineligible. All project activities must take place outside of the United States and its territories.
Please follow all instructions detailed here and in the attached Full Notice of Funding Opportunity titled "Notice of Funding Opportunity AEIF 2025 - OFOP0001693." Proposals that do not meet the requirements of this announcement or fail to comply with the stated requirements will be ineligible.</t>
  </si>
  <si>
    <t>U.S. Nuclear Regulatory Commission Notice of Funding Opportunity (NOFO), Research and Development Grant, Fiscal (FY) 2025</t>
  </si>
  <si>
    <t>NRC</t>
  </si>
  <si>
    <t>Nuclear Regulatory Commission</t>
  </si>
  <si>
    <t>Others (see text field entitled "Additional Information on Eligibility" for clarification)  	Public/State Controlled Institutions of Higher Education
 	Private Institutions of Higher Education
 	Hispanic-Serving Institutions (HSIs)
 	Historically Black Colleges and Universities (HBCUs)
 	Predominately Black Institutions (PBIs)
 	Tribal Controlled Colleges and Universities (TCUs)
 	Native American-Serving Non-Tribal Institutions (NASNTI)
 	Alaska Native and Native Hawaiian Serving Institutions (ANNHIs),
 	Asian American and Native American Pacific Islander Serving Institutions (AANAPISIs)</t>
  </si>
  <si>
    <t>Sea Grant Programs Only - FY2025 Disaster Preparedness for Coastal Communities</t>
  </si>
  <si>
    <t>Others (see text field entitled "Additional Information on Eligibility" for clarification) The following entities are eligible to submit to this opportunity:_x000D_
_x000D_
Sea Grant College Programs, Sea Grant Institutional Programs, and Sea Grant Coherent Area Programs. For the remainder of this document, these entities are collectively referred to as  Sea Grant Programs. _x000D_
_x000D_
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
  </si>
  <si>
    <t xml:space="preserve">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The National Sea Grant Office (NSGO) anticipates that approximately $900,000 in FY 2025 federal funds will be available to individual Sea Grant programs in order to support innovative all-hazard preparedness, response, and recovery initiatives for coastal communities. 
The most competitive applications submitted for this opportunity will do the following: 
â€¢ Address a disaster preparedness gap or need of an underserved or vulnerable coastal community;  
â€¢ Enable coastal communities to reduce disaster impacts and reach recovery more quickly; and 
â€¢ Feature innovative techniques, ideas, or solutions.  
This opportunity is only open to existing institutional Sea Grant programs. All projects must take place within the United States or territories or their respective waterways. 
Applicant organizations must complete and maintain three registrations to be eligible to apply for or receive an award. These registrations include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Tips and Tricks for Successful eRA Submissions, linked here.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NOAA-OAR-SG-2025-29454. 
</t>
  </si>
  <si>
    <t>2025 Pacific Islands Marine Education and Training Mini Grant</t>
  </si>
  <si>
    <t>Native American tribal organizations (other than Federally recognized tribal governments) Eligible applicants are individuals, institutions of higher education, nonprofits, commercial organizations, state, local and Indian tribal governments. Federal agencies and their employees, as well as Federal instrumentalities (including employees and members) are not eligible to apply. Projects must be conducted within Hawaii, Guam, the Commonwealth of the Northern Mariana Islands (CNMI), or American Samoa.</t>
  </si>
  <si>
    <t xml:space="preserve">The National Marine Fisheries Service (NMFS) is soliciting competitive applications for the Fiscal Year (FY) 2025 Pacific Islands Region Marine Education and Training (MET) Mini-Grant Program. Projects are being solicited to improve communication, education, and training on marine resource issues throughout the region and increase scientific education for marine related professions among coastal community residents, including indigenous Pacific islanders, Native Hawaiians, and other underserved communities in the region. </t>
  </si>
  <si>
    <t>ROSES 2024: A.63 Ecohydrology</t>
  </si>
  <si>
    <t xml:space="preserve">Please note that this program requests optional Notices of Intent, which are due via NSPIRES by January 16,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</si>
  <si>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University Centers for Excellence in Developmental Disabilities Education, Research and Service</t>
  </si>
  <si>
    <t>Others (see text field entitled "Additional Information on Eligibility" for clarification) Section 151(a) of the DD Act of 2000 states that appropriations authorized under section 156(a)(1) of the DD Act shall be used to make five-year grants to entities in each State designated as a UCEDD to carry out the four core functions of interdisciplinary pre-service preparation and continuing education, community services, research and information dissemination.  Entities eligible to apply for funds under this funding opportunity announcement are the grantees which were awarded in FY 2020. Foreign entities are not eligible to compete for, or receive, awards made under this announcement. Faith-based and community organizations that meet the eligibility requirements are eligible to receive awards under this funding opportunity announcement.</t>
  </si>
  <si>
    <t>AoD's Office of Intellectual and Developmental Disabilities (OIDD), Administration on Disabilities, Administration for Community Living (ACL), U.S. Department of Health and Human Services (HHS) forecasts the possible availability of Fiscal Year (FY) 2025 funds to make five-year grants to up to 3 entities designated as University Centers for Excellence in Developmental Disabilities Education, Research, and Service (UCEDD). These grantees carry out four core functions: (1) interdisciplinary pre-service preparation and continuing education of students; (2) community services, including training, technical assistance, and/or demonstration and model activities; (3) research; and (4) dissemination of information. UCEDDs are interdisciplinary education, research and public service units of universities, or public or not-for-profit entities associated with universities that implement the four core functions addressing, directly or indirectly, one or more of the areas of emphasis (e.g., quality assurance, education and early intervention, child care, health, employment, housing, transportation, recreation and other services available or offered to individuals in a community, including formal and informal community supports, that affect their quality of life). Funds made available under this proposed funding opportunity will be used to pay for the Federal share of the cost of the administration and operation of programs.</t>
  </si>
  <si>
    <t>OVW Fiscal Year 2025 Justice for Families Program</t>
  </si>
  <si>
    <t>County governments States and territories, units of local government, Indian tribal governments, courts (including juvenile courts), victim service providers, nonprofit organizations, and legal service providers.</t>
  </si>
  <si>
    <t>The Justice for Families Program supports activities to improve the response of the civil and criminal justice system to families with a history of domestic violence, dating violence, sexual assault, and stalking, or in cases involving child sexual abuse. Activities should improve the capacity of courts and communities to respond to families through court-based and court-related programs; supervised visitation and safe exchange by and between parents; training for people who work with families in the court system; and civil legal assistance.</t>
  </si>
  <si>
    <t>NSF Boosting Research Ideas for Transformative and Equitable Advances in Engineering</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</si>
  <si>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 must hold a tenured faculty appointment at the Associate/Full Professor rank or equivalent at an organization that is eligible to submit as described under  Who May Submit Proposals.  Co-PIs are not allowed on any of the tracks.Separately submitted collaborative proposals are not allowed.
Principal Investigators are limited to one active BRITE award at a time.</t>
  </si>
  <si>
    <t>The National Science Foundation s strategic goals are to expand knowledge and build capacity for a diverse science and engineering workforce [1], consistent with NSF s commitment to diversity, equity, and inclusion in all science and engineering fields and research endeavors, as well as with US Government priorities [2,3].This solicitation seeks proposals that enable experienced researchers with active research programs to take risks not typically associated with proposals submitted to core programs by pivoting to research areas where they have no proven track record or gaining knowledge from a different discipline and using it to forge new directions in their research field, or enter a new field; or experienced researchers with a hiatus in research activity to reestablish a foundation for sustained research productivity and broader impacts [4-10]. It is grounded in the expectation that leveraging prior science and engineering outcomes, harnessing talent from the broad scientific research community, enabling time for reflection and deliberation, including by learning new skills and through immersion in new areas, and supporting intellectual risk taking will lead to scientific and technological innovation.
All BRITE proposals are expected to address fundamental research that creates new knowledge in one or more program areas of the Division of Civil, Mechanical and Manufacturing Innovation (CMMI).BRITE proposals must identify key research outcomes and describe the research plans for the period of funding sought.Although collaborative proposals are not permitted and will be returned without review, the PI can include a collaborator as senior personnel.The role of such senior personnel should be limited to reflect the intended investment in the PI.
The solicitation includes two funding tracks in support of experienced scientists and engineers (tenured or equivalent): Pivot and Relaunch.
The BRITEPivot Trackis intended to enable researchers to quickly adapt to the fast-moving pace of research by either leveraging their experience when pursuing a pivot into a field of research where they have no proven track record, or by incorporating research tools and methodologies from other fields of research to advance knowledge in their areas of expertise.
The BRITERelaunch Trackis intended to enable researchers who have had a hiatus in research activity to relaunch back into active research by reestablishing a foundation for sustained productivity and broader impacts in the context of a research idea with significant potential for advancing knowledge. 
PIs are strongly encouraged to contact a cognizant Program Officer to assess the responsiveness of their ideas to the BRITE solicitation prior to submission.Proposals that are outside the bounds of CMMI program areas will be returned without review.All funded projects will form an NSF BRITE cohort and investigators will be required to attend an annual PI meeting and may be invited to other activities.
The expected funding ranges for BRITE awards are:
$100,000 - $200,000 per year
The award duration is 3 years for all BRITE awards. The duration and total funding level of all BRITE awards must not exceed 36 months and $600,000, respectively.
BRITE proposals responding to this solicitation must include five sections within the 15-page Project Description with the following section headings: Past Contributions, Research Approach and Research Plan, Track Relevance, Outcomes, and Broadening Participation Plan.Please see  Full Proposal Preparation Instructions  for additional details.</t>
  </si>
  <si>
    <t>The 2025 Alumni Engagement Innovation Fund (AEIF 2025)</t>
  </si>
  <si>
    <t>DOS-GNQ</t>
  </si>
  <si>
    <t>U.S. Mission to Equatorial Guinea</t>
  </si>
  <si>
    <t>Others (see text field entitled "Additional Information on Eligibility" for clarification) 1. The proposed project involves at least two U.S. Government-sponsored exchange program alumni and needs to specify a team lead. (All alumni involved in the project will need to be identified. Any non-alumni team members need to be identified as well.)_x000D_
_x000D_
2. Applications from Alumni Associations will need to specify a team lead._x000D_
_x000D_
3. U.S. citizen alumni may be included on alumni teams; however, the team must have at least two non-U.S. citizen exchange program alumni. U.S. citizen alumni cannot be team leads on projects.</t>
  </si>
  <si>
    <t>The U.S. Embassy Malaboâ€™s Public Diplomacy Section (PDS) of the U.S. Department of State is pleased to announce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MalaboGrants@state.gov by February 12, 2025.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to promote economic prosperity and human development in Equatorial Guinea. 
Promoting Economic Prosperity and Human Development is a small grants program that seeks to promote economic diversification, capacity-building, entrepreneurship, and professional development through inclusive economic growth through working with individuals, non-profits, social enterprises, and other eligible applicants based in Equatorial Guinea and the United States. All programming must highlight shared values and promote bilateral cooperation and include a U.S. cultural element, or connection with U.S. expert(s), organization(s), or institution(s) in a specific field that will promote increased understanding of U.S. policy and perspectives.</t>
  </si>
  <si>
    <t>Arts Education Partnership (AEP), FY 2025</t>
  </si>
  <si>
    <t>The purpose of this Program Solicitation is to select an organization (Cooperator) to administer the Arts Education Partnership (AEP), a national coalition of more than 250 partner and affiliate organizations representing the arts and education fields, as well as the government and private sectors. This award will be made as a cooperative agreement. A cooperative agreement is a type of award reflecting a relationship between the federal government and an award recipient (known as a Cooperator) in which the federal government is effectively a partner in the funded project. In practice, this means that the federal government will be substantially involved in the project undertaken by the Cooperator. Eligible applicants include nonprofit, tax-exempt 501(c)(3), U.S. organizations; units of state or local government; or federally-recognized tribal communities or tribes.</t>
  </si>
  <si>
    <t>Nurse Faculty Loan Program (NFLP)</t>
  </si>
  <si>
    <t>Native American tribal organizations (other than Federally recognized tribal governments) Who can apply You can apply if you are an accredited school of nursing with advanced nursing education programs. Any school(s) of nursing affiliated with this application must be accredited at the time of application  and for the duration of the award  by a recognized body or bodies, or a state agency, approved by the Secretary of Education for nurse education accreditation. Applicants must submit official documentation of accreditation in Attachment 1 for all affiliated nursing programs. Tribes and tribal organizations may be eligible if they own and operate accredited schools of nursing with an advanced nursing program. Types of eligible organizations If otherwise eligible, these types of domestic* organizations may apply. Public institutions of higher education Private institutions of higher education Non-profits with or without a 501(c)(3) IRS status For-profit organizations State, county, city, township, and special district governments, including the District of Columbia, domestic territories, and freely associated states Native American tribal governments Native American tribal organizations *Domestic means the 50 U.S.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</si>
  <si>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NFLP seeks to increase the number of qualified nursing faculty nationwide by providing low interest loans for individuals studying to be nurse faculty and loan cancellation for those who then go on to work as faculty. Successful applicants must establish, operate, and maintain a student loan program that provides loans to students enrolled in advanced nursing education degree programs. NFLP recipients must also monitor compliance with program requirements.
 NFLP graduates can have up to 85 percent of their student loan, including interest, canceled if they work full-time as nurse faculty for up to four years at an accredited nursing school. Advanced Practice Registered Nurses (APRNs) who work full-time as preceptors in academic-practice partnerships are also considered faculty under the NFLP, expanding clinical training for nursing students.</t>
  </si>
  <si>
    <t>Autism Secondary Data Analysis Research (Autism SDAR)</t>
  </si>
  <si>
    <t>Native American tribal organizations (other than Federally recognized tribal governments) Any public or private entity, including research centers or networks.</t>
  </si>
  <si>
    <t>The Autism Secondary Data Analysis program supports applied research through analysis of existing databases or administrative records to improve health outcomes, and the quality, efficiency, and accessibility of health care services for children and adolescents with autism and other developmental disabilities (DD) across the lifespan. This program will fund up to eight 2-year grants.</t>
  </si>
  <si>
    <t>Maternal and Child Health Secondary Data Analysis Research (MCH SDAR)</t>
  </si>
  <si>
    <t>Native American tribal organizations (other than Federally recognized tribal governments) Maternal and Child Health SDAR: Only public or non-profit institutions of higher learning (i.e., education) and public or private non-profit agencies engaged in research or in programs relating to maternal and child health and/or services for children with special health care needs may apply. See 42 CFR  51a.3 (b).</t>
  </si>
  <si>
    <t>The purpose of the SDAR programs is to support research that analyzes existing national data sets or administrative records to answer questions that can improve the health and well-being of MCH populations, including children and adolescents with Autism/DD.</t>
  </si>
  <si>
    <t>Alumni Engagement Innovation Fund - Lebanon 2025</t>
  </si>
  <si>
    <t>DOS-LBN</t>
  </si>
  <si>
    <t>U.S. Mission to Lebanon</t>
  </si>
  <si>
    <t>Others (see text field entitled "Additional Information on Eligibility" for clarification) Alumni of Department of State exchange programs</t>
  </si>
  <si>
    <t>The Public Diplomacy Section at the U.S. Embassy in Beirut, Lebanon invites past participants (Alumni) of U.S. government-funded and U.S. government sponsored exchange programs to submit their concept notes for possible funding through the 2025 Alumni Engagement Innovation Fund (AEIF 2025). The concept notes should be comprised of a proposal from teams of at least two alumni that meet all program eligibility requirements below and a budget (see Section D below for required documents). Exchange alumni interested in applying for funding under this statement of interest should submit proposals with a completed budget to PDBeirutGrants@state.gov by January 30, 2025, at 11:59 PM Eastern Standard time.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U.S. Embassy Beirut will accept public service projects proposed and managed by teams of at least two (2) alumni that support the themes of promoting good governance, promoting experiential learning to support social cohesion and recovery, fostering social entrepreneurship, and protecting cultural heritage. Proposals with accessibility, diversity, equity, and inclusion components are highly encouraged.
Proposals that do not address the theme as outlined in the program objectives will be deemed ineligible. All project activities must take place outside of the United States and its territories</t>
  </si>
  <si>
    <t>IIJA/IRA Bureau of Land Management Alaska Plant Conservation and Restoration Management</t>
  </si>
  <si>
    <t>The BLM Alaska Plant Conservation and Restoration Program advances the Department of the Interior's priorities to address the climate crisis, restore balance on public lands and waters, advance environmental justice, and invest in a clean energy future. In 2025 the Alaska BLM is focused on meeting the priorities of the National Seed Strategy (www.blm.gov/seedstrategy).The BLM Alaska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Alaska BLM has opportunities to work with partner organizations to do activities such as:Reduce the threats to sage grouse, rare plants, and other sensitive species in high priority habitats by supporting efforts to restore habitat for keystone wildlife and pollinator .Working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</si>
  <si>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Institutes for Advanced Topics in the Digital Humanities</t>
  </si>
  <si>
    <t>City or township governments See C. Eligibility Information in the Notice of Funding Opportunity</t>
  </si>
  <si>
    <t>The National Endowment for the Humanities (NEH) Office of Digital Humanities is accepting applications for the Institutes for Advanced Topics in the Digital Humanities program. The program supports national or regional (multistate) training programs for scholars, humanities professionals, and advanced graduate students to broaden and extend their knowledge of digital humanities. Through this program, NEH seeks to increase the number of humanities scholars and practitioners using digital technology in their research and to broadly disseminate knowledge about advanced technology tools and methodologies relevant to the humanities.</t>
  </si>
  <si>
    <t>Monitoring, Operations Research, Evaluation of Tools for Malaria Control and Prevention in Kenya</t>
  </si>
  <si>
    <t>City or township governments Foreign Organizations/Institutions are eligible to apply.  To be considered eligible, the application should have a demonstrated presence in Western Kenya, including evidence of prior malaria research conducted in collaboration with the KEMRI Center for Global Health Research and a letter of support and collaboration from the KEMRI Center for Global Health Research Malaria Program director stating their intention to collaborate on this project.</t>
  </si>
  <si>
    <t>The purpose of this notice of funding opportunity (NOFO) is to support research to assist with the implementation of malaria focused operations research, surveillance, and monitoring and evaluation activities in Kenya. Through this NOFO, CDC seeks to fund critical operations research and evaluation activities with the potential to yield high impact public health findings and to improve strategies that will decrease the overall burden of malaria and increase the health and well-being of affected populations in Kenya.</t>
  </si>
  <si>
    <t>Ukraine Mental Health Initiative for National Development Activity</t>
  </si>
  <si>
    <t>USAID-UKR</t>
  </si>
  <si>
    <t>Ukraine USAID-Kiev</t>
  </si>
  <si>
    <t>Greetings,The United States Agency for International Development (USAID) is seeking applications for a cooperative agreement from qualified entities to implement the Ukraine Mental Health Initiative for National Development (U-MIND) activity. Eligibility for this award is not restricted.USAID intends to make an award to the applicant(s) who best meets the objectives of this funding opportunity based on the merit review criteria described in this Notice of Funding Opportunity (NOFO), subject to a risk assessment. Eligible parties interested in submitting a concept paper are encouraged to read this NOFO thoroughly to understand the type of program sought, concept paper submission requirements, and selection process.This funding opportunity will utilize a multi-tiered review process under USAID Automated Directive System (ADS) Chapter 303, Section 303.3.6.1.c. The evaluation will occur in the following phases:1. Phase 1: Applicants will submit an initial concept paper pursuant to Section D of this NOFO. Based on USAIDâ€™s evaluation and in accordance with the merit review criteria set forth herein, the applicant(s) whose initial concept paper best meets the objectives of this funding opportunity will be requested to submit a full application.2. Phase 2: The Merit Review Committee will transmit a second-level solicitation to the selected applicant(s), as noted above. Upon receipt of the full application(s), the Merit Review Committee will conduct a review thereof, using more specific merit review criteria.Additional details regarding the review process are provided in Section D of this NOFO.To be eligible for award, the applicant must provide all information as required in this NOFO and meet eligibility standards in Section B of this NOFO. This funding opportunity is posted on www.grants.gov and may be amended. It is the responsibility of the applicant to regularly check the website to ensure they have the latest information pertaining to this NOFO and to ensure that it has been downloaded from the internet in its entirety. USAID bears no responsibility for data errors resulting from transmission or conversion process. If you have difficulty registering on www.grants.gov or accessing the NOFO, please contact the Grants.gov Support Center at 1-800-518-4726 or via email at support@grants.gov for technical assistance or if you need assistive technology and are unable to access any material on this site.Unless an exception in 2 CFR 25.110 applies, applicants must comply with 2 CFR 25 requirements to obtain a Unique Entity Identifier (UEI) and register in the System for Award Management (SAM.gov), as applicable. See Section E, Submission Requirements and Deadlines, for more information. The registration process may take many weeks to complete. Therefore, applicants are encouraged to begin registration early.Please send any questions to the point(s) of contact identified in Section A.4. The deadline for questions is shown above. Responses to questions received prior to the deadline will be furnished to all potential applicants through an amendment to this notice posted to www.grants.gov.Issuance of this NOFO does not constitute an award commitment on the part of the Government nor does it commit the Government to pay for any costs incurred in preparation or submission of comments/suggestions or a concept paper. Concept papers are submitted at the risk of the applicant. All preparation and submission costs are at the applicantâ€™s expense.Thank you for your interest in USAID/Ukraine programming.Sincerely,/s/Jessica R. Faber Agreement Officer</t>
  </si>
  <si>
    <t>Innovative Approaches for TB Prevention and Case Finding to END TB</t>
  </si>
  <si>
    <t>Others (see text field entitled "Additional Information on Eligibility" for clarification) N/A</t>
  </si>
  <si>
    <t>The purpose of this NOFO is to develop, implement, and evaluate evidence-based and innovative approaches under the following two thematic components: Component A - Prevent TB infection and halt progression of TB disease in high-burden settings â€“ with a focus on the following two strategies: TB preventive treatment (TPT) and nutrition; and Component B - Find TB infection and TB disease, including sub-clinical TB, using newer tools and products - in all populations including those at increased/higher risk for TB (i.e., PLHIV, children, displaced persons, healthcare workers, economically disadvantaged persons with other co-morbid conditions [alcohol use disorders, diabetes mellitus, persons who use illicit substances, undernourished], and older adults).</t>
  </si>
  <si>
    <t>Occupational Safety and Health Training Project Grants (T03)</t>
  </si>
  <si>
    <t>State governments Foreign Organizations are not eligible to apply.</t>
  </si>
  <si>
    <t>The National Institute for Occupational Safety and Health (NIOSH), Centers for Disease Control and Prevention (CDC), invites grant applications for Training Project Grants (TPGs) that are focused on occupational safety and health training. NIOSH is mandated to provide an adequate supply of qualified personnel to carry out the purposes of the Occupational Safety and Health Act, and the TPGs are one of the principal means for meeting this mandate. The majority of TPGs are in academic institutions that provide high quality undergraduate, graduate, and post graduate academic training in a variety of occupational safety and health (OSH) and allied disciplines. NIOSH also funds a limited number of non-academic TPGs to provide specialized training for target audiences and build or strengthen the Nation's OSH workforce capacity.</t>
  </si>
  <si>
    <t>Advancing Translation of Long-Acting Strategies for HIV and HIV-Associated Co-infections (AT LASt) (R61/R33 Clinical Trial Not Allowed)</t>
  </si>
  <si>
    <t>Private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</si>
  <si>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(NOFO) is to support preclinical activities for the development of safe and effective long-acting/sustained release (LA/SR) technologies for prevention and treatment of HIV and HIV-associated tuberculosis (TB), hepatitis B (HBV) and hepatitis C (HCV), and to ultimately advance these products toward submission of an Investigational New Drug (IND) application to the U.S. Food and Drug Administration (FDA). Solicited LA/SR products will have demonstrated strong rationale, competitive advantage, and effectiveness in appropriate non-clinical or animal models at intermittent dosing from either a single administration (injection, topical, oral administration) or continuous dosing regimen (implant, transdermal patch, etc.).</t>
  </si>
  <si>
    <t>FY25 IIJA/IRA Bureau of Land Management Alaska Wildlife Program</t>
  </si>
  <si>
    <t>The BLM Alaska Wildlife Program advances the Department of the Interior's priorities to address the climate crisis, restore balance on public lands and waters, advance environmental justice, and invest in a clean energy future. Specific BLM Alaska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Alaska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</si>
  <si>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IIJA/IRA Bureau of Land Management Alaska Recreation and Visitor Services</t>
  </si>
  <si>
    <t>Business Excellence for Sustainability and Transparency (BEST) Phase II Activity</t>
  </si>
  <si>
    <t>The USAID Business Excellence for Sustainability and Transparency (BEST) Phase II Activity will further advance key elements of the original activity and incorporate new elements to improve long-term sustainability of the small and medium-sized enterprise (SME) sector. BEST Phase II will work more closely with Mongolian government entities and civil society organizations (CSOs), providing training and capacity building so they can more effectively advise SMEs. In addition, BEST Phase II will include a component to work with SMEs directly to improve their energy efficiency and environmental sustainability to improve their overall competitiveness. Similar to BEST, the goal of BEST Phase II is to build the capacity of SMEs so they can more powerfully serve as an engine for Mongoliaâ€™s economic growth and diversification. Best Phase II will Improve capacity of Mongolian institutions;Improve corporate governance of SMEs; andImprove energy efficiency and environmental sustainability of SMEs.</t>
  </si>
  <si>
    <t>DOS-BFA</t>
  </si>
  <si>
    <t>U.S. Mission to Burkina Faso</t>
  </si>
  <si>
    <t>Others (see text field entitled "Additional Information on Eligibility" for clarification)  	Alumni who participated in a U.S. government-sponsored exchange program. _x000D_
 	Alumni Associations from countries with current U.S. representation. _x000D_
 	Public Diplomacy Sections partnering with alumni in support of Mission goals.</t>
  </si>
  <si>
    <t xml:space="preserve">The U.S. Embassy Burkina Faso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The 2025 Alumni Engagement Innovation Fund (AEIF) promotes a post-driven alumni engagement opportunity, offering posts flexibility in collaborating with alumni teams to develop public service- oriented projects that directly support their individual Mission goals and foreign policy objectives. This annual funding opportunity is designed to amplify the return on the investment of the U.S. government in exchange programs. Pending availability of funds, the Bureau of Educational and Cultural Affairs (ECA) will review and recommend proposals for funding on a yearly basis. 
Exchange alumni interested in participating in AEIF 2025 should submit proposals to OuagaPDCultural@state.gov by January 31, 2025. 
  A. 
Eligibility 
Â· Alumni who participated in a U.S. government-sponsored exchange program.  
Â· Alumni Associations from countries with current U.S. representation.  
Â· Public Diplomacy Sections partnering with alumni in support of Mission goals. 
1. Cost Sharing or Matching 
Inclusion of cost share is not a requirement of this opportunity. But it is highly recommended. We encourage all proposals to include some form of cost sharing.  
2. Other Eligibility Requirements 
All organizations must have a Unique Entity Identifier (UEI) issued via SAM.gov as well as a valid registration in SAM.gov. Please see Section D.3 for more information. Individuals are not required to have a UEI or be registered in SAM.gov. 
Applicants are only allowed to submit one proposal per organization. If more than one proposal is submitted from an organization, all proposals from that institution will be considered ineligible for funding. 
3. Application requirements: 
Â· The proposed project identifies and supports Mission priorities through public service-oriented activities. 
Â· The proposed project involves at least two U.S. Government-sponsored exchange program alumni and needs to specify a team lead. (All alumni involved in the project will need to be identified as well as verified by post prior to submission of the project proposal. Any non-alumni team members need to be included as well.) 
Â· Applications from Alumni Associations will need to specify a team lead. 
Â· U.S. citizen alumni may be included on alumni teams; however, the team must have at least two non-U.S. citizen exchange program alumni. U.S. citizen alumni cannot be team leads on projects.  
B. Program Description 
1. Goals and Objectives 
Goals and Objectives 
AEIF is designed to increase the impact of the U.S. governmentâ€™s investment in exchange participants and programs by helping alumni develop and implement projects that support U.S. foreign policy objectives, promote shared interests, and benefit local communities. 
All AEIF projects must achieve U.S. foreign policy goals, ICS goals, or other mission priorities.  
In addition, AEIF projects must address at least one of the following:  
1) Bring alumni together from different exchange programs to build or expand an alumni network capable of working together on common interests and increase regional and global collaboration of alumni. 
2) Strengthen the relationship between alumni and the U.S. government to work together on activities that address mutual goals and challenges.  
3) Support alumni as they develop their leadership capacity and implement projects in their communities. 
 </t>
  </si>
  <si>
    <t>Others (see text field entitled "Additional Information on Eligibility" for clarification) The following individuals are eligible to apply:_x000D_
 	Applicants must be alumni of U.S. government-funded or sponsored exchanges or programs (https://j1visa.state.gov/)._x000D_
 	Projects teams must include at least two (2) alumni._x000D_
 	Alumni who are U.S. citizens may not submit proposals, but U.S. citizen alumni may participate as team members in a project._x000D_
 	Alumni teams may be comprised of alumni from different exchanges and programs and different countries._x000D_
 	Applications must be submitted by alumni or alumni associations of USG alumni. No other organizations are eligible to apply. Alumni can partner with not-for-profit or non-governmental organizations, think tanks, and academic institutions to implement project activities. The grant can be issued to an individual alum or to a partner organization.</t>
  </si>
  <si>
    <t xml:space="preserve">The Embassy of the United States in Ethiopia announces an open competition for past participants (â€œalumniâ€) of U.S. government-funded and U.S. government-sponsored exchanges and programs to submit applications to the 2025 Alumni Engagement Innovation Fund (AEIF 2025). 
AEIF provides alumni of U.S. government-sponsored exchanges and programs with funding to expand on skills gained during their experiences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to promote sustainable development and mutual prosperity through expanded and deepened partnerships and mutual understanding. 
We will accept projects proposed and managed by teams of at least two (2) alumni that support themes such as: 
Â· Alumni to lead projects to .
Â· Convene alumni from similar tracks to foster collaborative relationships and build trust and understanding through shared experiences and goals.
Â· Encourage alumni to leverage their diverse expertise to address community challenges and bridge sectoral divides.
Â· Facilitate dialogue among alumni to identify collective goals and actionable strategies for social impact and community development.
Proposals must be designed to Promote sustainable development and mutual prosperity through expanded and deepened partnerships and mutual understanding. Proposals that do not address the theme as outlined in the program objectives will be deemed ineligible. All project activities must take place outside of the United States and its territories.
</t>
  </si>
  <si>
    <t>Embassy Prague PDS Annual Program Statement 2025</t>
  </si>
  <si>
    <t>DOS-CZE</t>
  </si>
  <si>
    <t>U.S. Mission to the Czech Republic</t>
  </si>
  <si>
    <t>Others (see text field entitled "Additional Information on Eligibility" for clarification) The following organizations are eligible to apply: _x000D_
  Not-for-profit organizations, including civil society/non-governmental organizations (NGOs) and think tanks with a connection to the Czech Republic_x000D_
  Public and non-profit educational institutions with a connection to the Czech Republic_x000D_
  Czech governmental institutions and international organizations_x000D_
  Individuals with a connection to the Czech Republic_x000D_
_x000D_
For-profit or commercial entities are not eligible.</t>
  </si>
  <si>
    <t>The U.S. Embassy Prague Public Diplomacy Section (PDS) of the U.S. Department of State is pleased to announce available funding for projects advancing key strategic goals through its Public Diplomacy Small Grants Program. This is an Annual Program Statement, outlining our funding priorities and the procedures for submitting requests for funding. Please carefully follow all instructions below.The Embassy plans to fund projects that strengthen social, political, and cultural ties between the United States and Czechia and support our Priority Program Areas. Projects should specifically target Czech audiences living within Czechia. All programs must:include an American cultural or policy element, AND/ORinvolve a connection with American expert/s, performers, organization/s, or institution/s relevant to the proposed project, ANDpromote increased understanding of U.S. policy and perspectives.Examples of successful programs include, but are not limited to:Academic or professional lectures, seminars, workshops, discussions and speaker programs by U.S. experts and/or about the United States, or reciprocal exchanges to advance joint work on a shared challenge.Community or civic engagement projects or campaigns promoting shared U.S.-Czech values.Artistic and cultural workshops, joint performances, masterclasses by U.S. artists and exhibitions of U.S. works. We seek geographically and demographically diverse audiences within Czechia and prioritize proposals with a significant programming component outside of Prague. Program audiences should be young adult or adult populations in Czechia.</t>
  </si>
  <si>
    <t>FY 2025 Bureau of Land Management National Conservation Lands - Management Studies Support Program</t>
  </si>
  <si>
    <t>Native American tribal organizations (other than Federally recognized tribal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</si>
  <si>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National Conservation Lands programs financially support studies aimed at increasing our understanding of the resources present on BLM lands, the values these areas protect, and the effectiveness of BLMâ€™s resource management decisions.  The program seeks to develop and maintain strong partnerships with State, local, university, tribal, and non-profit stakeholders in shared conservation stewardship by engaging partners in conducting management-focused research on the National Conservation Lands.  Results from these studies on National Conservation Lands will inform management strategies utilized throughout BLM as well as other land management entities.  The Management Studies Support Program for National Conservation Lands will utilize partnerships with University, State, local, tribal, and non-profit entities to gather the best available data and synthesize information to support BLMâ€™s land management decision processes and co-stewardship initiatives.</t>
  </si>
  <si>
    <t>Building Stronger Governance through Civil Society Engagement</t>
  </si>
  <si>
    <t>DOS-BLZ</t>
  </si>
  <si>
    <t>U.S. Mission to Belize</t>
  </si>
  <si>
    <t>Others (see text field entitled "Additional Information on Eligibility" for clarification) U.S. Non-profit/non-governmental organizations (NGOs) having a 501(c)(3) status with the IRS or overseas-based NGOs, U.S. and overseas-based public and private institutions of higher education, and public international organizations (PIOs); Belizean NGOs are strongly encouraged to apply.</t>
  </si>
  <si>
    <t>The U.S. Embassy in Belmopan, Belize announces a Notice of Funding Opportunity (NOFO) to promote democratic institutions, accountability, and good governance in Belize with up to $500,000 in Fiscal Year 2024 Economic Support Funds (ESF) for a project period between 18-24 months. The anticipated start date for this activity is June 2, 2025. Subject to the availability of funds, Embassy Belmopan intends to issue approximately two to three awards in an amount not to exceed $500,000. Each award will be for an amount between $150,000 and up to $250,000 for each selected proposal. Applications are due on February 4, 2025, at 11:59 p.m. Eastern time (Washington, D.C)The submitted proposal should focus on Pillar II (Combating corruption, strengthening democratic governance, and advancing the rule of law) of the Root Causes Strategy. Project proposals should address one or more of the following project objectives: Strengthen civil society organizations (CSOs) to actively promote reform and improve government service delivery, particularly to vulnerable, remote, and/or marginalized communities. Proposals should focus on building capacity, promoting civic participation, improving public service efficiency, and enabling civil society advocacy for social and environmental balance. Improve the capacity of government institutions to promote transparency, e-government and anticorruption measures. Proposals should focus on implementing strong anti-corruption measures to protect public resources, creating mechanisms that enhance access to information and decision-making, and encouraging greater citizen participation in governance, thereby promoting transparency at all levels of government. Strengthen access to justice and uphold rule of law, particularly for marginalized communities. Proposals should focus on initiatives that will remove barriers to justice and ensure that all citizens, particularly those from marginalized communities, can access legal support and resources effectively.Specific objectives and indicators should be included in the proposals that allow the organization to measure and demonstrate progress. Funding awarded under this NOFO cannot be used for law enforcement, to train members of law enforcement, or to provide social services. U.S. Embassy Belmopan invites qualified U.S. non-profit/non-governmental organizations (NGOs) having a 501(c)(3) status with the IRS or overseas-based NGOs, U.S. and overseas-based public and private institutions of higher education, and public international organizations (PIOs) to apply. U.S. Embassy Belmopan reserves the right to fund any or none of the applications submitted and will determine the resulting level of funding for each award. Eligible organizations interested in applying are encouraged to read this Notice of Funding Opportunity (NOFO) thoroughly to understand the scope of eligible projects, the application submission requirements, and the review process.</t>
  </si>
  <si>
    <t>FY25 Alumni Engagement Innovation Fund</t>
  </si>
  <si>
    <t>DOS-DEU</t>
  </si>
  <si>
    <t>U.S. Mission to Germany</t>
  </si>
  <si>
    <t>Unrestricted (i.e., open to any type of entity above), subject to any clarification in text field entitled "Additional Information on Eligibility" Eligible Applicants 	Alumni who participated in a U.S. government-sponsored exchange program.  	Alumni Associations.Eligibility requirements 	The proposed project identifies and supports Mission priorities through public service-oriented activities. 	The proposed project involves at least two U.S. Government-sponsored exchange program alumni and needs to specify a team lead. (All alumni involved in the project will need to be identified as well as verified by post prior to submission of the project proposal. Any non-alumni team members need to be included as well.) 	Applications from Alumni Associations will need to specify a team lead. 	U.S. citizen alumni may be included on alumni teams; however, the team must have at least two non-U.S. citizen exchange program alumni. U.S. citizen alumni cannot be team leads on projects.</t>
  </si>
  <si>
    <t>Please refer to the full Notice of Funding Opportunity document attached to this opportunity. Applications via Grants.gov or MyGrants are not accepted. Please read the document carefully and follow the application instructions.Executive SummaryThe 2025 Alumni Engagement Innovation Fund (AEIF) provides funding for alumni of U.S. government exchange programs to lead community projects that support U.S. foreign policy goals. This opportunity encourages innovative solutions to global challenges while fostering collaboration between alumni and strengthening ties with the U.S. government.Mission Germany seeks proposals from alumni teams of at least two members that align with key themes, including artificial intelligence and technology, energy security, entrepreneurship, STEM education, and projects tied to U.S. and German shared history or cultural milestones. Successful proposals will have clear goals, involve U.S. elements like American speakers or practices, and include a plan to measure their impact.Sample projects might include leadership workshops, STEM hackathons, or digital economy summits. Priority audiences include youth, journalists, educators, and entrepreneurs. This program empowers alumni to use their skills to create positive change in their communities while advancing shared U.S.-German interests.</t>
  </si>
  <si>
    <t>ROSES 2024: A.62 FarmFlux Science Team</t>
  </si>
  <si>
    <t xml:space="preserve">Please note that this program requests optional Notices of Intent, which are due via NSPIRES by January 17,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</si>
  <si>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Cancer Epidemiology Cohorts: Building the Next Generation of Research Cohorts (U01 Clinical Trial Not Allowed)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</si>
  <si>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</si>
  <si>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Through this funding opportunity announcement, the National Cancer Institute (NCI) solicits applications to Cancer Epidemiology Cohorts: Building the Next Generation of Research Cohorts PAR. This funding opportunity announcement seeks to support initiating and building the next generation of population-based cancer epidemiology cohorts to address specific knowledge gaps in cancer etiology and survivorship. Specifically, it will support methodological work necessary to initiate and build cancer epidemiology cohorts that can address critical scientific gaps concerning (i) new or unique exposures in relation to cancer risks and outcomes and (ii) achievement of diverse populations in cohorts with the inclusion of understudied populations (e.g., racial/ethnic groups, rural populations, and persistent poverty areas) with substantial community engagement.</t>
  </si>
  <si>
    <t>Role of T-Cells in HIV CNS Reservoir Seeding, Persistence, and Neuropathogenesis (R21 Clinical Trial Not Allowed)</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</si>
  <si>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</si>
  <si>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Eradicating latent reservoirs of HIV-1 within the body and achieving a sterilizing or functional cure have become priority areas in the AIDS field and NIH AIDS programs across many Institutes and Centers, including NIMH. In addition understanding the mechanisms of HIV- associated co-morbidities in the setting of effective anti-retroviral therapy (ART) is a major topic of interest in the field. HIV Associated CNS (central nervous system) co-morbidities continue to exist despite excellent virologic control in this compartment. HIV persistence and neuroinflammation also continues to observed in the CNS in the setting of ART. HIV targets the CNS early in infection, and HIV-infected individuals suffer from mild forms of neurological impairments even under antiretroviral therapy (ART). CD4+ T cells and monocytes mediate HIV entry into the brain and constitute a source for HIV persistence and neuronal damage. CD8+ T cells are also massively recruited in the CNS in acute infection to control viral replication.</t>
  </si>
  <si>
    <t>Role of T-Cells in HIV CNS Reservoir Seeding, Persistence, and Neuropathogenesis (R01 Clinical Trial Not Allowed)</t>
  </si>
  <si>
    <t>Limited Competition: NIH Neuroscience Doctoral Readiness Program (DR. Program) (R25 Clinical Trial Not Allowed)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</si>
  <si>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</si>
  <si>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This announcement provides support to eligible, domestic institutions to develop and implement effective, approaches to biomedical research education and mentoring that will keep pace with the rapid evolution of the research enterprise. This NIH Neuroscience Doctoral Readiness Program (DR Program) expects that the proposed research education programs will incorporate extensive research experiences within the NINDS mission and well-designed courses for skills development and education to prepare recent baccalaureates from diverse backgrounds to transition into and complete rigorous, research-focused doctoral degree programs (e.g., Ph.D. or M.D./Ph.D.) in biomedical fields.
This is a limited competition funding opportunity announcement to support postbaccalaureate programs that will be affiliated with a funded NIH T32 program. Eligibility is limited to PD(s)/PI(s) or MPI teams that include at least one PD/PI of a grant supported by the following FOAs: T32 - Jointly Sponsored Institutional Predoctoral Training Program (JSPTPN), PAR-20-076;NINDS T32 - Institutional Research Training Grant, PAR-21-149; or NINDS T32 - Institutional Translational Research Training Program, PAR-19-228. In all cases, a PD/PI of the T32 grant from a FOA cited above, must be the PD/PI or an MPI of this R25.
This Funding Opportunity Announcement (FOA) does not allow appointed participants to lead an independent clinical trial but does allow them to obtain research experience in a clinical trial led by a mentor or co-mentor.</t>
  </si>
  <si>
    <t>Sea Grant Programs Only - FY2025 Aquaculture Legal, Regulatory, and Policy Grants</t>
  </si>
  <si>
    <t>Others (see text field entitled "Additional Information on Eligibility" for clarification) The following entities are eligible to submit to this opportunity: Sea Grant College Programs, Sea Grant Institutional Programs, and Sea Grant Coherent Area Programs. For the remainder of this document, these entities are collectively referred to as  Sea Grant Programs . Programs are encouraged to partner with other Sea Grant Programs and/or other entities such as individuals, State and Tribal Agencies/Organizations, MSIs,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To be eligible to apply or receive an award, applicants  must complete and maintain three registrations;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
  </si>
  <si>
    <t xml:space="preserve">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$500,000 will be available to support broad, non-proprietary research projects for a period of up to three years with the goal of addressing legal, regulatory, and policy topics relevant to U.S. coastal, marine, and Great Lakes aquaculture communities. Federal funds ranging from $100,000-$250,000 may be requested per application. Successful proposals will address topical needs (described below) and preferably include participation and involvement of Sea Grant extension personnel and members of the aquaculture community, including state regulators/resource managers. These investments are consistent with Sea Grantâ€™s focus area of Sustainable Fisheries and Aquaculture (SFA) and the Sea Grant Networkâ€™s 10-year Aquaculture Vision, both of which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Programs are encouraged to partner with other Sea Grant Programs and/or other entities such as individuals, State and Tribal Agencies/Organizations, Minority Serving Institutions (MSIs), non-governmental organizations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must take place within the United States or territories or their respective waterways. 
Applicants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NOAA-OAR-SG-2025-29312. 
Please note that a submission checklist to assist applicants in ensuring that they address components and elements of the NOFO is provided on the final page of this document. </t>
  </si>
  <si>
    <t>National Estuarine Research Reserve System (NERRS) Land Acquisition and Construction Program for Fiscal Year 2025</t>
  </si>
  <si>
    <t>Others (see text field entitled "Additional Information on Eligibility" for clarification) Eligible applicants are NERRS designated state agencies or universities designated to receive NERRS operations funding through a Memorandum of Understanding with NOAA in coastal states and territories including the Pacific, Gulf of Mexico, Caribbean, Atlantic Coast and Great Lakes. Eligible applicants should meet requirements as stated in the NERRS regulations codified at 15 C.F.R. 921.32 which are available online at http://go.usa.gov/xkGEf.Federal agencies and employees are not allowed to receive funds under this announcement but may serve as collaborative project partners. Federal agencies and employees    services cannot be considered as part of an applicant s match on shared costs. If federal agencies are collaborators, applicants are expected to provide detail on the planned level of federal engagement in the application. Examples might include, but are not limited to partnership services; serving in a review capacity; or participating in priority task teams, working groups, or leadership teams.</t>
  </si>
  <si>
    <t>The National Estuarine Research Reserve System (NERRS) consists of estuarine areas of the United States and its territories designated and managed for research and educational purposes (Reserve). Each Reserve within the NERRS is chosen to represent a different bio-geographic region and to include a variety of ecosystem types in accordance with the classification scheme of the national program as specified in 15 C.F.R. Part 921. By funding Reserve lead agencies and universities to conduct land acquisition and construction projects that support the NERRS mission, NOAA will strengthen protection of key land and water areas, enhance long-term protection of Reserve areas for research and education, and provide for facility and exhibit construction activities that meet the highest sustainable design standards possible. Each Reserve supports a wide range of beneficial uses important to ecological, economic, recreational, and aesthetic values, which are dependent upon the maintenance of a healthy ecosystem. The sites provide habitats for a wide range of ecologically and commercially important species of fish, shellfish, birds, and other aquatic and terrestrial wildlife. Each Reserve was designated to ensure its effectiveness as a conservation unit and as a site for long-term research and monitoring. In maintaining their effectiveness, the Reserves may find it necessary to expand their boundaries through strategically planned land acquisitions and/or to develop or enhance their reserve facilities, including their in-situ monitoring infrastructure, to meet the demands of research, monitoring, and education program objectives.
NOAA anticipates approximately $8.5 million in Fiscal Year 2025 will be available to designated lead Reserve agencies or universities in coastal states. NOAA anticipates funding between 5-20 construction, acquisition, and/or planning   design projects. Project periods may be 12-36 months, and can be up to 60 months. Final project selections are subject to availability of funds and negotiation with NOAA.
The NOAA Office for Coastal Management (OCM) encourages applicants and awardees to support the principles of diversity and inclusion when writing their proposals and performing their work. Diversity is defined as a collection of individual attributes that together help organizations achieve objectives. Inclusion is defined as a culture that connects each employee to the organization. Promoting diversity and inclusion improves creativity, productivity, and the vitality of the climate research community in which OCM engages.</t>
  </si>
  <si>
    <t>FY25 IIJA/IRA Bureau of Land Management Oregon/Washington (ORWA) Plant Conservation and Restoration Management</t>
  </si>
  <si>
    <t>The BLM Oregon/Washington (ORWA) Plant Conservation and Restoration Program advances the Department of the Interior's priorities to address the climate crisis, restore balance on public lands and waters, advance environmental justice, and invest in a clean energy future. In 2025 the BLM ORWA is focused on meeting the priorities of the National Seed Strategy (www.blm.gov/seedstrategy).The BLM ORWA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 anduse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BLM ORWA has opportunities to work with partner organizations to do activities such as:Reduce the threats to sage grouse, rare plants, and other sensitive species in high priority habitats by supporting efforts to restore habitat for keystone wildlife and pollinator.Working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t>
  </si>
  <si>
    <t>IIJA/IRA Bureau of Land Management Alaska Invasive and Noxious Plant Management</t>
  </si>
  <si>
    <t>BLM Alaska Invasive and Noxious Plant Management Programs work to prevent, detect, inventory, control, and monitor weed populations on public lands.Invasive species cost the public millions of dollars in control and management each year and many invasive plants and noxious weeds are highly competitive and have the ability to permanently degrade our public lands.Noxious weeds and invasive species expansion are recognized as the single greatest threat to our native plant communities and the values they provide us.These native plant communities are essential for supporting wildlife habitat, watershed function, recreation opportunities, rural economies and working landscapes.Invasive plants and noxious weeds affect plant and animal communities on farms and ranches, and in parks, waters, forests, natural areas, and backyards in negative ways.Human activity such as trade, travel, and tourism have all increased substantially, escalating the speed and volume of species movement to unprecedented levels.Increased site vulnerability from wildfires that are more frequent and other disturbances is an ongoing challenge to maintaining the integrity of our native plant communities.Noxious weeds are particularly aggressive plants legally designated by states as being injurious to public health, the environment or the economy.Invasive species and noxious weeds adversely affect overall recreational opportunities on public land i.e., hunting, fishing, camping, hiking, watershed health and ecosystem function which result in economic losses in rural and urban communities.Affect adjacent private lands, both rural and urban, causing widespread economic losses to the agricultural industry as well as to other resources.</t>
  </si>
  <si>
    <t>FY25 IIJA/IRA Bureau of Land Management Idaho (ID) Wildlife Program</t>
  </si>
  <si>
    <t>Special district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</si>
  <si>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Idaho (ID) Wildlife Program advances the Department of the Interior's priorities to address the climate crisis, restore balance on public lands and waters, advance environmental justice, and invest in a clean energy future. Specific BLM ID Wildlife Program priorities include:protect wildlife habitat, migration, habitat connectivity that supports biodiversity;increase resilience to climate change and help leverage natural climate solutions;contribute to conserving at least 30 percent of our lands and waters by the year 2030;support State agencies to meet State wildlife population objectives;engage communities of color, low-income families, and rural and indigenous communities to enhance economic opportunities related to wildlife; anduse the best science and data available to make decisions. The BLM ID Wildlife Program works with partner organizations to meet the goals above on national or regional scale through: Activities that maintain or restore habitats for upland game, waterfowl, big game, pollinators, sensitives species, and watchable wildlife species. Conserving priority wildlife habitat (vegetation communities, water resources, or connectivity) or reducing threats to habitat or species.Monitoring and inventorying wildlife populations and habitats to provide complete, current, and accurate information on the distribution, abundance, and habitat of wildlife that depend on BLM managed public lands.Assessing wildlife habitat and measuring related resource management goals and objectives.Enhancing the understanding of opportunities to conserve wildlife populations that depend on BLM managed lands.Improving how BLM uses and integrates coordinated wildlife monitoring data such as Integrated Monitoring in Bird Conservation Regions (IMBCR) and North American Bat Monitoring Program (NaBat). Doing new research on success in meeting the objectives of wildlife habitat and land use plans at the ecosystem and watershed level.Performing education projects (including citizen science and student-based science) to facilitate wildlife stewardship and conservation for species that depend on BLM managed lands.Increasing public awareness of wildlife resources, conservation challenges and successes on BLM managed lands, including with a targeted focus on communities of color, low-income families, and rural and indigenous communities.</t>
  </si>
  <si>
    <t>FY25 IIJA/IRA Bureau of Land Management Idaho (ID) Youth Conservation Corps</t>
  </si>
  <si>
    <t>County governments Individuals and for-profit organizations are ineligible to apply for awards under this NOFO.This program NOFO supports entities recruiting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t>
  </si>
  <si>
    <t>The Idaho (ID) Bureau of Land Management (BLM) offices have collaborated with Qualified Youth and Conservation Corps, as authorized by the Public Lands Corps Act (PLC), to accomplish conservation projects for numerous years. This programâ€™s projects provide employment for participants and opportunities to gain work experience in public lands and natural resources management. Through their BLM experience, youth gain an appreciation for public lands, learn about conservation-related careers, and become the next generation of public lands stewards. The BLM Youth Program also helps diversify the BLM workforce while exposing participants to complex cultural and natural resource issues. The BLM Youth Program partners with qualified youth and conservation corps through the Public Lands Corp (PLC) Program to engage individuals between the ages of 16 and 30 (inclusive) and veterans up to age 35 (inclusive) including tribal members. Recruitment efforts should focus on young, diverse people from local communities to assist with conservation projects that protect and promote multiple-use on public lands.  Projects available under the PLC Program are developed in collaboration with the State Youth Program Lead and District/Field Office project coordinators. The projects emphasize engagement in on-the-ground projects, training, and mentorship opportunities for participants. These projects create jobs that strengthen Americaâ€™s economy and foster relationships with youth conservation corps organizations striving for balanced stewardship and use of public lands. Participants are mentored by BLM professionals, acquire new skills, and gain experience in natural and cultural resource management. Proposed projects within this funding opportunity notice will support the American Climate Corps (ACC) initiative. Proposed projects may also incorporate the goals of the Indian Youth Service Corps Program through outreach to Indian tribes and tribal-serving youth corps organizations and the Indian Youth Service Corps (IYSC) initiative. Youth participants will have opportunities to help build a clean energy and climate-resilient future in their own communities and across the nation. They will also be able to address racial inequity by increasing opportunities for qualified youth, which will benefit members of Indian tribes.Projects will include the following:Enhancement of recreation opportunities through trail building, maintenance and restoration, and other improvements to visitor and recreation facilities (e.g. kiosks, campgrounds, signage etc.).Monitoring riparian area vegetation and hydrological functions, collecting soil and stream data as well as, timber stand improvement projects for wildlife habitat and overall forest health.Habitat restoration and wildlife protection, including reduction of invasive species, tree planting, fence removal/installation, riparian area restoration, etc.Development and implementation of natural and cultural resource stewardship plans or educational materials for visitors.Studies such as resource inventories, historic or archival research, archaeological excavation or stabilization, oral histories, historic preservation, habitat surveys, etc.Preservation of cultural resources, including historic structures.Seed collection for restoration of lands affected by natural disastersReduction of wildfire risk to communities, watersheds, and other public land ecosystems.Production of materials and programs on natural, cultural, and/or paleontological resources, communication, education, and interpretation of natural and cultural resources.In-house projects, such as science, policy, or program internships, with a clear benefit for natural or cultural resources. In-house projects must include a field component of at least 120 hours.</t>
  </si>
  <si>
    <t>FY25 IIJA/IRA Bureau of Land Management Idaho (ID) Plant Conservation and Restoration Management</t>
  </si>
  <si>
    <t>State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Lands.Cooperative Ecosystem Studies Units (CESUs) are partnerships to promote, conduct, and provide research, studies, assessments, monitoring, technical assistance, and educational services. For  cooperative agreements with CESU partners, indirect costs are limited to a rate of no-more-than 17.5 percent. Applicants should state if they will participate in the CESU program, and if so, which CESU Network would be the host.</t>
  </si>
  <si>
    <t>The BLM Idaho (ID) Plant Conservation and Restoration Program advances the Department of the Interior's priorities to address the climate crisis, restore balance on public lands and waters, advance environmental justice, and invest in a clean energy future. In 2025, the ID BLM is focused on meeting the priorities of the National Seed Strategy (www.blm.gov/seedstrategy).The BLM ID Plant Conservation and Restoration Program is especially focused on projects that:protect biodiversity;increase resilience to climate change and help leverage natural climate solutions;contribute to conserving at least 30 percent of our lands and waters by the year 2030;engage communities of color, low income families, and rural and indigenous communities to enhance economic opportunities related to native seed production and restoration;and use the best science and data available to make decisions. Native plants and native plant communities are the true green infrastructure we rely upon to sustain healthy, bio-diverse ecosystems. Without native seed we do not have the ability to restore functional ecosystems after natural disasters and mitigate the effects of climate change.The ID BLM has opportunities to work with partner organizations to do activities such as:Reduce the threats to sage grouse, rare plants, and other sensitive species in high priority habitats by supporting efforts to restore habitat for keystone wildlife and pollinator.Working with growers to develop genetically appropriate native plant material for use in habitat restoration and rehabilitation.Support studies to improve the effectiveness of conservation restoration efforts in areas such as plant ecological, plant genetics, and ecophysiological studies, seed bank persistence, plant propagation and development of agronomic production practices, and trait and/or seed source evaluations as well as seeding treatment and tool development.Support pollinator studies and projects on the importance of native plant communities and pollinators to restoration durability and ecological function.                                                   Implement conservation actions for high priority rare plant speciesIncrease understanding of rare plant biology and threats.Monitor, protect, and restore habitat that supports more than 1,800 rare plant species, more than 300 of which are found exclusively on BLM lands.Develop strategies to encourage the use of native plant materials that are genetically appropriate for restoration and reclamation across all BLM associated programs such as Wildlife, Oil &amp; Gas, Minerals, Fuels, Emergency Stabilization and Rehabilitation, Range, and Renewable Energy;Increase Citizen Science through expanding public education programs on native plants and native plant communities through development of technical guidance, videos, native plant guides and floras, workshops, webinars, and apps.Rare plant and animal surveys.</t>
  </si>
  <si>
    <t>NINR Resources and Related Research Projects in Firearm Injury Prevention (R24 Clinical Trial Not Allowed)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</si>
  <si>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</si>
  <si>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This Notice of Funding Opportunity (NOFO) invites applications from multidisciplinary teams of experts in firearm injury prevention research across departments and institutions to develop and provide research resources and support to build capacity among United States (U.S.) nurse researchers for rigorous, high-impact research in firearm injury prevention aligned with the NINR mission and scientific framework. These R24 awards are intended to: 1) build research resources that respond to the specific needs of the nurse researcher community; 2) train and attract new nurse researchers into the field; 3) support potential pilot project programs to accelerate research progress toward an NIH award; and 4) advance firearm injury prevention research infused with a social determinants and health equity perspective.</t>
  </si>
  <si>
    <t>Community Wildfire Defense Grant 2024 (FY25) Northeast-Midwest</t>
  </si>
  <si>
    <t>USDA-FS</t>
  </si>
  <si>
    <t>Forest Service</t>
  </si>
  <si>
    <t>This announcement contains the Notice of Funding Opportunity (NOFO)/Instructions. To apply after reading the NOFO, visit the application portal at cwdg.forestrygrants.org. 
The purpose of the Community Wildfire Defense Grant is to assist at-risk local communities and Indian Tribes with planning and mitigating against the risk created by wildfire.  
The Act prioritizes at-risk communities in an area identified as having high or very high wildfire hazard potential, are low-income, and/or have been impacted by a severe disaster. More details on these three priorities can be found in the Notices of Funding Opportunity (NOFOs).  
The CWDG helps communities in the wildland urban interface (WUI) implement the three goals of the National Cohesive Wildland Fire Management Strategy (Cohesive Strategy):  
 Restore and Maintain Landscapes: Landscapes, regardless of jurisdictional boundaries, are resilient to fire, insect, disease, invasive species, and climate change disturbances, in accordance with management objectives.  
 Create Fire Adapted Communities: Human populations and infrastructure are as prepared as possible to receive, respond to, and recover from wildland fire.  
 Improve Wildfire Response: All jurisdictions participate in making and implementing safe, effective, efficient risk-based wildfire management decisions.  
This program is authorized in Public Law 117-58, Infrastructure Investment and Jobs Act, commonly referred to as the Bipartisan Infrastructure Law (BIL).  
There are two primary project types for which the grant provides funding:  
 The development and revision of Community Wildfire Protection Plans (CWPP)  
 The implementation of projects described in a CWPP that is less than ten years old  
Applicant Webinars for CWDG Round 3 have been scheduled as follows. The application process in Round 3 is the same for all applicants. Any applicant in any region, area, or Tribe may attend any webinar, they will all have the same content, however, the December 4th webinar will be more focused on Tribal applications and Tribal application Q A. 
This information will also be on the Forest Service CWDG website, link below. 
To attend a webinar, please register in advance by clicking on the link following each date: 
Monday, December 2nd, 2pm-4pm Eastern 
https://us06web.zoom.us/webinar/register/WN_6-i032QISWGJhNKj6g-UyA 
Wednesday, December 4th, 12:30pm-2:30pm Eastern (Tribal focused) 
https://us06web.zoom.us/webinar/register/WN_C6N_tnRGSwSgbZU0CFifrQ 
Friday, December 6th, 2pm-4pm Eastern 
https://us06web.zoom.us/webinar/register/WN_Jnadv39gSPKwBv9qYqeAGQ 
Applicant Webinar recordings will be made available soon after the webinars for those unable to attend one of the live offerings, check back on the Forest Service CWDG website for recordings. 
In addition to the webinars above, the Forest Service will be offering periodic "office hours" for applicants throughout the application period. Please visit the CWDG website below for dates and times.</t>
  </si>
  <si>
    <t>Community Wildfire Defense Grant 2024 (FY25) West</t>
  </si>
  <si>
    <t>Community Wildfire Defense Grant 2024 (FY25) South</t>
  </si>
  <si>
    <t>Community Wildfire Defense Grant 2024 (FY25) Tribes</t>
  </si>
  <si>
    <t>ROSES 2024: F.11 Payloads and Research Investigations on the Surface of the Moon: Stand-Alone Landing Site-Agnostic</t>
  </si>
  <si>
    <t>Scholarships for Disadvantaged Students</t>
  </si>
  <si>
    <t>Others (see text field entitled "Additional Information on Eligibility" for clarification) Who can apply_x000D_
You can apply if you are an accredited school of medicine, osteopathic medicine, dentistry, nursing (as defined in section 801), pharmacy, physical therapy, podiatric medicine, optometry, veterinary medicine, public health, chiropractic, or allied health, a school offering a graduate program in behavioral and mental health practice, or an entity providing programs for the training of physician assistants._x000D_
For details on which disciplines qualify, see the subdiscipline eligibility list._x000D_
Types of eligible organizations_x000D_
If otherwise eligible, the following types of domestic* organizations may apply._x000D_
 Public health professions schools_x000D_
 Non-profit private health professions schools_x000D_
 Non-profit health professions schools having a 501(c)(3) IRS status_x000D_
 Non-profit health professions schools with an IRS status other than 501(c)(3)_x000D_
 For-profit nursing and physician assistant schools_x000D_
 Native American tribal governments_x000D_
 Native American tribal organizations_x000D_
  means the 50 states, the District of Columbia, the Commonwealth of Puerto Rico, the Northern Mariana Islands, American Samoa, Guam, the U.S. Virgin Islands, the Federated States of Micronesia, the Republic of the Marshall Islands, and the Republic of Palau._x000D_
Individuals are not eligible applicants under this NOFO.</t>
  </si>
  <si>
    <t>The Scholarships for Disadvantaged Students (SDS) program increases diversity in the health professions and nursing workforce by providing awards to eligible health professions schools for use in awarding scholarships to students from disadvantaged backgrounds who have financial need, including students who are members of racial and ethnic minority groups.</t>
  </si>
  <si>
    <t>FY 2025 University Nuclear Research Infrastructure Revitalization</t>
  </si>
  <si>
    <t>Projects proposed under the Infrastructure Revitalization FOA are intended to:
â€¢ revitalize the U.S. capacity for university-led nuclear R&amp;D by establishing and/or improving infrastructure to align with the advanced reactor technologies being deployed by the U.S. nuclear industry;
â€¢ support innovative combinations of facilities, equipment, and related capabilities to maximize the value of investments toward R 
â€¢ emphasize support for rapid, lower-cost approaches that can enable advanced-reactor-relevant R&amp;D, education and workforce development prior to any universities establishing advanced research reactors; and
â€¢ involve consortia among diverse types of institutions to maximize participation and realization of benefits by underrepresented communities that have historically faced challenges to such access.
Requests should focus on a goal or capability that significantly adds to the current U.S. capacity to support advanced reactor R&amp;D, education, and workforce development. Applicants must demonstrate the connection among requested pieces of equipment or other project elements toward a key objective or outcome. Applications made of several uncorrelated equipment requests are not of interest. A request should not duplicate existing capabilities.
Activities that involve the planning or construction of new university nuclear reactors will not be considered.
NE reserves the right to respond to potential shifts in priorities during FY 2025 that may be driven by events, policy developments, or Congressional/budget direction. DOE-NE will factor such considerations into decisions related to the timing and scale of award announcements associated with this FOA.</t>
  </si>
  <si>
    <t>Pediatric Pulmonary Centers Program</t>
  </si>
  <si>
    <t>Others (see text field entitled "Additional Information on Eligibility" for clarification) Who can apply You may apply if you are an institution of higher learning, meaning: Any college or university accredited by a regionalized body or bodies approved for such purpose by the Secretary of Education. Any teaching hospital which has higher learning among its purposes and functions and which has a formal affiliation with an accredited school of medicine and a full-time academic medical staff holding faculty status in such school of medicine.  Types of eligible organizations These types of domestic* organizations may apply. Public institutions of higher education. Non-profit private institutions of higher education. Native American tribal governments and organizations that are institutions of higher learning (education). See 42 CFR  51a.3(b). Individuals are not eligible applicants under this NOFO. *Domestic means the 50 states, the District of Columbia, the Commonwealth of Puerto Rico, the Northern Mariana Islands, American Samoa, Guam, the U.S. Virgin Islands, the Federated States of Micronesia, the Republic of the Marshall Islands, and the Republic of Palau.</t>
  </si>
  <si>
    <t>The purpose of the PPC program is to provide interdisciplinary training to improve the health of infants, children, and adolescents with chronic respiratory conditions, sleep issues, and other related special health care needs.</t>
  </si>
  <si>
    <t>Institutes for Higher Education Faculty and K-12 Educators</t>
  </si>
  <si>
    <t>The National Endowment for the Humanities solicits applications for the Institutes for Higher Education Faculty and Institutes for K-12 Educators programs. Institutes are residential, virtual, and combined format professional development programs that convene higher education faculty or K-12 educators from across the nation to deepen and enrich their understanding of significant topics in the humanities and enrich their capacity for effective scholarship and teaching.</t>
  </si>
  <si>
    <t>Office of Postsecondary Education (OPE): Student Support Service: Gaining Early Awareness and Readiness for Undergraduate Programs (GEAR UP) Partnership Grants, Assistance Listing Number 84.334A</t>
  </si>
  <si>
    <t>Public housing authorities/Indian housing authorities 1.  Eligible Applicants:  Partnerships consisting of (a) at least one degree-granting IHE and (b) at least one LEA.  Partnerships may include not less than two other community organizations or entities, such as businesses, professional organizations, State agencies, institutions or agencies sponsoring programs authorized under the Leveraging Educational Assistance Partnership Program authorized in part A, subpart 4, of title IV of the HEA (20 U.S.C. 1070c et seq.), or other public or private agencies or organizations (20 U.S.C. 1070a-21(c)(2)).Note:  A Partnership under this competition must follow the procedures under 34 CFR 75.127 through 75.129 in developing a group application.  This includes developing an agreement that details the activities that each member of the group plans to perform and binds each member of the group to every statement and assurance made by the applicant in the application.  This agreement must be submitted with the application.</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</si>
  <si>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 
 Purpose of Program: The GEAR UP program is a discretionary grant program that encourages eligible entities to provide support, and maintain a commitment, to eligible students from low-income backgrounds, including students with disabilities, to assist the students in obtaining a secondary school diploma (or its recognized equivalent) and to prepare for and succeed in postsecondary education. Under the GEAR UP program, the Department awards grants to two types of entities: (1) States and (2) Partnerships consisting of at least one degree-granting institution of higher education (IHE) and at least one local educational agency (LEA). 
Assistance Listing Number (ALN) 84.334A. 
 </t>
  </si>
  <si>
    <t>Office of Postsecondary Education (OPE): Student Support Service: Gaining Early Awareness and Readiness for Undergraduate Programs (GEAR UP) State Grants, Assistance Listing Number 84.334S</t>
  </si>
  <si>
    <t>State governments 1.  Eligible Applicants:  States (as defined in section 103(20) of the HEA (20 U.S.C. 1003(20)), which includes the Commonwealth of Puerto Rico, the District of Columbia, Guam, American Samoa, the United States Virgin Islands, the Commonwealth of the Northern Mariana Islands, and the Freely Associated States.  Per congressional direction in Senate Report 118-84 (Pub. L. 118-47), only States without an active State GEAR UP grant, or States that have an active State GEAR UP grant that is scheduled to end prior to October 1, 2025, are eligible to receive a new State GEAR UP award in this competition.  States with grants remaining open beyond October 1, 2025, for a no-cost extension period or for the sole purpose of data collection and analysis activities, are not considered active for purposes of implementing this directive.</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</si>
  <si>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 
Purpose of Program: The GEAR UP program is a discretionary grant program that encourages eligible entities to provide support, and maintain a commitment, to eligible students from low-income backgrounds, including students with disabilities, to assist the students in obtaining a secondary school diploma (or its recognized equivalent) and to prepare for and succeed in postsecondary education. Under the GEAR UP program, the Department awards grants to two types of entities: (1) States and (2) Partnerships consisting of at least one degree-granting institution of higher education (IHE) and at least one local educational agency (LEA). 
. 
Assistance Listing Number (ALN) 84.334S. 
 </t>
  </si>
  <si>
    <t>FY25 Pacific Islands - Hawai'i Marine Wildlife Response and Outreach</t>
  </si>
  <si>
    <t>Native American tribal governments (Federally recognized) Eligible applicants are individuals, institutions of higher education, nonprofits, commercial organizations, state, local, and Indian tribal governments. Federal agencies and their employees, as well as, Federal instrumentalities (including employees and members) are not eligible to apply.</t>
  </si>
  <si>
    <t xml:space="preserve">The National Marine Fisheries Service (hereinafter, "NMFS") is soliciting competitive applications for the fiscal year 2025 Pacific Islands - Hawai'i Wildlife Response and Outreach competition. Projects are being solicited to support specific programmatic activities related to the following 3 priorities: Priority 1: Hawaiian Monk Seal Management Support, Field Response, and Outreach: Projects to conduct in-field response and educational outreach for Hawaiian monk seals occurring on the islands of O'ahu, Maui, Moloka'i, or Hawai'i Island. Funding availability is island and species-specific, with total funding not to exceed $460,000 (up to 4 proposals may be funded). Priority 2: Sea Turtle Management Support, Field Response, and Outreach: Projects to conduct in-field response and educational outreach for sea turtles occurring on the islands of Maui or Hawai'i Island (western Kona side). Funding availability is island and species-specific with total funding not to exceed $140,000 (up to 4 proposals may be funded). Priority 3: Native Hawaiian engagement in cetacean and sea turtle response. Requested funding per project is recommended to not exceed $15,000 (up to 2 proposals may be funded). </t>
  </si>
  <si>
    <t>FY25 IIJA/IRA Bureau of Land Management Oregon/Washington (ORWA) Aquatic Resource Management</t>
  </si>
  <si>
    <t>Private institutions of higher education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</si>
  <si>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Managementâ€™s (BLM) Oregon/Washington (OR/WA)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OR/WA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OR/WA  Aquatic Resources Program continues to advance the Department of the Interior's priorities to address the climate crisis, restore balance on public lands and waters, advance environmental justice, and invest in a clean energy future. The BLM OR/WA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t>
  </si>
  <si>
    <t>Law Enforcement Critical Skills Training for Bosnia and Herzegovina</t>
  </si>
  <si>
    <t>Nonprofits having a 501(c)(3) status with the IRS, other than institutions of higher education Please see Eligibility Criteria under Section C in the NOFO's instructions</t>
  </si>
  <si>
    <t>The Bureau of International Narcotics and Law Enforcement Affairs of the U.S. Department of State announces an open competition for organizations to submit applications to deliver law enforcement training in Bosnia and Herzegovina (BiH). Over the next two calendar years INL Sarajevo will provide six (6) training courses to law enforcement in BiH. Courses to be delivered have been identified via an assessment conducted by INL and from requests received from senior police officials. Courses include active threat (shooter), cybercrimes investigations, narcotics investigations, criminal intelligence/data analysis, corruption/financial crimes investigations, and digital forensics.</t>
  </si>
  <si>
    <t>Native American Affairs: Technical Assistance to Tribes for Fiscal Year 2025</t>
  </si>
  <si>
    <t>Native American tribal organizations (other than Federally recognized tribal governments) Federally recognized Indian Tribes or Tribal organizations as defined in 25 U.S.C. 5304. Additional Information on Eligibility</t>
  </si>
  <si>
    <t>The Bureau of Reclamation (Reclamation), through the TAP, provides financial and technical assistance to federally recognized Indian Tribes. The TAP establishes cooperative working relationships, through partnerships with Indian Tribes, to assist Tribes as they develop, manage, and protect their water and related resources. Reclamationâ€™s Native American and International Affairs Office, Washington, D.C., plans to make fiscal year (FY) 2025 funds available for the TAP through Reclamationâ€™s five Regional Offices.For further information on the TAP please visit: www.usbr.gov/native/programs/TAPprogram.htmlThe objective of this NOFO is to invite federally recognized Indian Tribes to submit proposals for financial assistance for projects and activities that develop, manage, and protect tribal water and related resources.This NOFO also implements the Biden-Harris Administrationâ€™s priorities including Presidential Executive Order 14008: Tackling the Climate Crisis at Home and Abroad (E.O. 14008), and Executive Order 13985: Advancing Racial Equity and Support for Undeserved Communities Through the Federal Government (E.O. 13985). E.O. 13985 is supported by this NOFO as it increases opportunities for Indian Tribes to develop, manage, and protect their water and related resources.</t>
  </si>
  <si>
    <t>U.S. Embassy Bratislava PAS, AEIF 2025</t>
  </si>
  <si>
    <t>Others (see text field entitled "Additional Information on Eligibility" for clarification) - Applicants must be alumni of a U.S. government-funded or sponsored exchange program or a S. government-sponsored exchange program (https://j1visa.state.gov/)._x000D_
- Projects teams must include teams of at least two (2)_x000D_
- Alumni who are S. citizens may not submit proposals, but U.S. citizen alumni may participate as team members in a project._x000D_
- Alumni teams may be comprised of alumni from different exchange programs and different countries._x000D_
- Applications must be submitted by exchange alumni or alumni associations of USG exchange alumni. No other organizations are eligible to apply. Exchange alumni can partner with not-for-profit or non-governmental organizations, think tanks, and academic institutions to implement project The grant can be issued to the individual alumni or the partner organization.</t>
  </si>
  <si>
    <t>The U.S. Embassy Bratislava Public Affairs Section (PAS) announces an open competition for past participants (â€œalumniâ€) of U.S. government-funded and U.S. government-sponsored exchange programs to submit applications to the 2025 Alumni Engagement Innovation Fund (AEIF 2025). We seek proposals from teams of at least two alumni that meet all program eligibility requirements below. Exchange alumni interested in participating in AEIF 2025 should submit proposals to by January 31, 2025.</t>
  </si>
  <si>
    <t>Advancing Genomic Medicine Research (R03 Clinical Trial Not Allowed)</t>
  </si>
  <si>
    <t>This NOFO solicits applications that stimulate innovation and advance understanding of when, where and how best to implement the use and sharing of genomic information and technologies in clinical care in all persons irrespective of racial/ethnic background or socioeconomic status.
The R03 grant mechanism supports small research projects that can be carried out in a short period of time with limited resources, such as pilot or feasibility studies; secondary analysis of existing data; small, self-contained research projects; or development of research methodology. An R03 grant application need not have extensive background material or preliminary information. Accordingly, reviewers will emphasize the conceptual framework, the level of innovation, and the potential to significantly advance our knowledge or understanding. Appropriate justification for the proposed work can be provided through literature citations, data from other sources, or, when available, from investigator-generated data. Preliminary data are not required for R03 applications; however, they may be included if available.</t>
  </si>
  <si>
    <t>Advancing Genomic Medicine Research (R01 Clinical Trial Optional)</t>
  </si>
  <si>
    <t>Private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</si>
  <si>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National Human Genome Research Institute intends to issue a Notice of Funding Opportunity (NOFO) to solicit applications that stimulate innovation and advance understanding of when, where and how best to implement the use and sharing of genomic information and technologies in clinical care in all persons including populations or communities that experience health disparities, such as racial or ethnic minority groups, people with lower socioeconomic (SES) status, underserved rural communities, and sexual and gender minority groups.</t>
  </si>
  <si>
    <t>Research Opportunities in Established Cancer Epidemiology Cohort Studies (U01 Clinical Trial Not Allowed)</t>
  </si>
  <si>
    <t>Through this Funding Opportunity Announcement (FOA), the National Cancer Institute (NCI) encourages grant applications to support cancer epidemiology research in established cohort studies, defined as studies that have achieved their initial planned recruitment goal. Applications must include hypothesis-based research using data from an established cohort study and are expected to include support for cohort maintenance, continued follow-up, and sharing of the existing resources in addition to addressing research questions across the cancer control continuum.</t>
  </si>
  <si>
    <t>Advancing Genomic Medicine Research (R21 Clinical Trial Optional)</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</si>
  <si>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</si>
  <si>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National Human Genome Research Institute intends to issue a Funding Opportunity Announcement (FOA) to solicit applications that stimulate innovation and advance understanding of when, where and how best to implement the use and sharing of genomic information and technologies in clinical care in all persons including populations or communities that experience health disparities, such as racial or ethnic minority groups, people with lower socioeconomic (SES) status, underserved rural communities, and sexual and gender minority groups.
The intended FOA will be based on a concept recently approved by the National Advisory Council on Human Genome Research and accompanying discussion. 
This Notice is being provided to allow potential applicants sufficient time to responsive projects. Details of the planned FOA are provided below.</t>
  </si>
  <si>
    <t>Experiential Learning for Emerging and Novel Technologies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</si>
  <si>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State and Local Governments including those entities interested in workforce development and education.
Other Federal Agencies and Federally Funded Research and Development Centers (FFRDCs): Prospective proposers from Other Federal Agencies and Federally Funded Research and Development Centers (FFRDCs), including NSF sponsored FFRDCs, must follow the guidance in PAPPG Chapter I.E.2 regarding limitations on eligibility.</t>
  </si>
  <si>
    <t xml:space="preserve">
Through this initiative, the Directorate for STEM Education (EDU) and the Directorate for Technology, Innovation and Partnerships(TIP), in partnership with Micron Technology, Inc. (Micron) through the Micron Foundation, seek tosupport experiential learning opportunitiesfor individualsfrom all professional and educationalbackgrounds, resulting in increased access to, and interest in, career pathways inemerging technologyfields (e.g.,advanced manufacturing, advanced wireless, artificial intelligence, biotechnology,quantum information science,semiconductors, and microelectronics). As NSF seeks to support the development of technologies in such fields, similar support will be needed to foster and grow a science, technology, engineering, and mathematics (STEM) workforce comprising and enabling all Americans to contribute to such innovation. Large-scale challenges likeadvances in microelectronics or artificial intelligence also requireaSTEMworkforcethatbringsvaried perspectives and expertise to further accelerate the translation of science and engineering discoveries into large-scale solutions. Moreover, as current and new emerging technologies continue to evolve, unforeseen issues around security, safety and privacy will impact thepreparationof the workforce.Emerging technologiesare also dynamicandrapidly changing, with career entry and advancement often requiring "learning-by-doing" experience, even for those with some STEM education.Therefore, NSF recognizes that a competitiveemerging technology workforcemust includeindividualsfrom traditional and nontraditional education pathways as well as those individuals who may have   out of traditional educational pathways.
The ExLENT program willsupport experiential learningopportunitiesdesigned toprovide cohorts of learnerswiththe crucial skills needed to succeed inemerging technologyfieldsand prepare themto enterthe workforce ready to solve our Nation smost pressing challenges.Furthermore, theExLENTprogram will directly support NSF spriorityto enable all Americans the opportunity to become a part of the emerging technologies workforce1, thereby assuring the Nation s competitiveness in STEM. 
Key goals of the program are to (1) expand access to career-enhancing experientiallearning opportunitiesfor all individuals, including adult learners interested in re-skilling and/or upskilling (e.g., those who face or who have faced significant barriers to accessing a formal STEM education);(2)promotecross-sectorpartnershipsbetweenorganizationsinemerging technologyfields and those with expertise in workforce development;and (3) develop a workforce aligned with regional economies based onemergingtechnologiesacross the Nation, in alignment with the mission of the TIP Directorate.
</t>
  </si>
  <si>
    <t>Region XII Migrant and Seasonal Worker Collaboration Office</t>
  </si>
  <si>
    <t>HHS-ACF-OHS</t>
  </si>
  <si>
    <t>Administration for Children and Families - OHS</t>
  </si>
  <si>
    <t>State governments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</si>
  <si>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This NOFO has been modified. Section V.1 Criteria has been updated.Through this cooperative agreement, the Office of Head Start (OHS) within the Administration for Children and Families (ACF) will make available the funds to enhance coordination and collaboration between the Office of Head Start (OHS) Region XII Office, the OHS Training and Technical Assistance system, Head Start recipients, other providers of early care and education, and stakeholders that provide services related to the development and learning of low-income migrant and seasonal worker children and families. The Collaboration office will promote partnerships with child care that emphasize the Early Head Start-Child Care Partnership Initiatives; collect data regarding early childhood programs and child outcomes; support the expansion and access of high quality workforce and career development opportunities for staff; work with school systems to ensure continuity between Head Start and school system goals; and, support other regional office priorities such as family and community partnerships; and, health, mental health, and oral health.</t>
  </si>
  <si>
    <t>Region XI American Indian Alaska Native (AIAN) Collaboration Office</t>
  </si>
  <si>
    <t>This NOFO has been modified. Section V.1 Criteria has been updated.Through this cooperative agreement, the Office of Head Start (OHS) within the Administration for Children and Families (ACF) will make available the funds to enhance coordination and collaboration between the Office of Head Start (OHS) Region XI AIAN Office, the OHS Training and Technical Assistance system, Head Start recipients, other providers of early care and education, as well as other stakeholders that provide services related to the development and learning of low-income children and families and the staff that work with them. Under the direction of the Collaboration Office Director, the collaboration office will promote partnerships with child care that emphasize the Early Head Start/Child Care Partnership Initiatives; collect data regarding early childhood programs and child outcomes; support the expansion and access of high quality, workforce and career development opportunities for staff; work with school systems to ensure continuity between Head Start and school system goals; and, support other regional office priorities such as family and community partnerships; and, health, mental health, and oral health.</t>
  </si>
  <si>
    <t>High-Assay Low-Enriched Uranium (HALEU) Transportation Package, Inflation Reduction Act (IRA)</t>
  </si>
  <si>
    <t>The objective of this NOFO is to research, develop, and acquire NRC certification for HALEU transportation packages focused on front-end transportation packaging needs to support a sustainable supply chain. Industryâ€™s front-end HALEU transportation needs include: 
1.	Transport of enriched, up to HALEU is UF6 enriched up to &lt;20%
2.	Transport of tails/de-converted material,
3.	Transport of fresh finished fuel. 
To address the most immediate needs in this funding opportunity, DOE is considering the following transportation packages: 
1.	Oxide transportation packages.
2.	Metal transportation packages.
3.	UF6 transportation packages.
4.	Packages capable of supporting combinations of the above.</t>
  </si>
  <si>
    <t>FY2025 NMFS-Sea Grant Fellowship in Population and Ecosystem Dynamics and Marine Resource Economics</t>
  </si>
  <si>
    <t>Others (see text field entitled "Additional Information on Eligibility" for clarification) The following entities are eligible to submit to this opportunity:Full applications submitted to Grants.gov must come from an eligible Sea Grant program. Prospective fellows enrolled towards a degree in a graduate program in a state or territory served by a Sea Grant program must submit to that program. Applications that are not approved and submitted by the student s state Sea Grant program will not be considered for review. Interested students in states or territories without a Sea Grant program must submit their applications to the Sea Grant program to which they were referred to by the NMFS-Sea Grant Fellowship Program Manager listed in section VII.Those eligible to submit to a Sea Grant Program:1) Prospective fellows must be United States citizens.2) At the time of application, prospective fellows must be admitted to a Ph.D. degree program at a U.S. accredited university in the U.S. in population dynamics, ecosystem dynamics, resource or environmental economics, or a related field such as wildlife biology, fishery biology, natural resource management, marine biology, quantitative ecology, applied mathematics, applied statistics, or simulation modeling at an institution of higher education in the United States or its territories.3) Alternatively, a prospective fellow may submit a signed letter from the institution indicating provisional acceptance to a Ph.D. degree program conditional on obtaining financial support such as this fellowship.The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</si>
  <si>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This notice announces that applications may be submitted for the 2025 NMFS-Sea Grant Fellowship in Population and Ecosystem Dynamics and Marine Resource Economics. When an interested student is applying, be sure to specify your projectâ€™s focus area in your title page: either Population and Ecosystem Dynamics (PED), or Marine Resource Economics (MRE). See Section IV.B, Content and Form of Application, for more information. 
Population and Ecosystem Dynamics: Sea Grant anticipates funding at least four new Ph.D. fellowships in 2025 to students who are interested in careers related to marine ecosystem and population dynamics. The emphasis will be on the research and development of quantitative methods for assessing the status of marine ecosystems; managed fish, invertebrates, and other targeted species; and marine mammals, seabirds, and other protected species. 
Marine Resource Economics: Sea Grant anticipates funding at least one new Ph.D. fellowship in 2025 to students who are interested in careers related to the development and implementation of quantitative methods for assessing the economics of the conservation and management of living marine resources. 
Fellows will work on thesis questions of public interest and relevance to the National Marine Fisheries Service (NMFS) under the guidance of NMFS mentors at participating NMFS Science Centers or Offices. The NMFS-Sea Grant Fellowship in Population and Ecosystem Dynamics and Marine Resource Economics meets NOAA's healthy oceans goal of â€œmarine fisheries, habitats, biodiversity sustained with healthy and productive ecosystems.â€ 
Application packages may propose up to $66,700 in federal funding plus at least 20% matching ($13,340) funding per year. These awards will be jointly funded by NMFS and Sea Grant. These fellowships can provide support for up to three years. Indirect costs are not allowable for either the fellowship or for any costs associated with the fellowship including waived indirect costs as match (15 C.F.R. Â§ 917.11(e), "Guidelines for Sea Grant Fellowships). 
Interested students are strongly encouraged to reach out to the Sea Grant program in their state/territory at least one month prior to the state application deadline to receive application support and provide notification of intent to apply. 
This document sets out requirements for submitting to NOAA-OAR-SG-2025-29114. 
Applicant organizations must complete and maintain three registrations to be eligible to apply for or receive an award. These registrations include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A guide to best practices for successfully submitting applications to eRA is located here.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NOAA-OAR-SG-2025-29114.</t>
  </si>
  <si>
    <t>American Indian and Alaska Native Head Start Expansion, Early Head Start Expansion, and Early Head Start-Child Care Partnership Grants</t>
  </si>
  <si>
    <t>State governments Eligible applicants are any public or private non-profit agencies, including community-based and faith-based organizations, or for-profit agencies pursuant to section 645A(d) of the Head Start Act, 42 U.S.C. 9840A(d).Eligible applicants are also subject to section 641(e) of the Head Start Act, 42 U.S.C. 9836, Prohibition Against Non-Indian Head Start Agency Receiving a Grant for an Indian Head Start program. Based on the Head Start Act, as amended December 2007 [42 U.S.C. 9801 et seq.], Indian tribe means any tribe, band, nation, pueblo, or other organized group or community of Indians, including any Native village described in the Alaska Native Claims Settlement Act (43 U.S.C. 1602(c)) or established pursuant to such Act (43 U.S.C. 1601 et seq), that is recognized as eligible for special programs and services provided by the United States to Indians because of their status as Indians.Eligible entities include the following: (1) entities operating Head Start, (2) entities operating Indian Head Start or Migrant and Seasonal Head Start programs, and (3) other public entities and non-profit or for-profit private entities, including community-based and faith-based organizations, capable of providing child and family services that meet the standard for participation in programs under the Head Start Act. AIAN recipients are tribes or corporations that have a formal treaty and sovereign status with the federal government or other tribal organization.Please note,  (1) entities operating Head Start programs  includes entities operating Head Start, EHS, and/or EHS-CCP programs. Applications from individuals (including sole proprietorships) and foreign entities are not eligible and will be disqualified from the merit review and funding under this funding opportunity. Faith-based and community organizations that meet the eligibility requirements are eligible to receive awards under this funding opportunity. Faith-based organizations may apply for this award on the same basis as any other organization, as set forth at and, subject to the protections and requirements of 45 CFR Part 87 and 42 U.S.C. 2000bb et seq., ACF will not, in the selection of recipients, discriminate against an organization on the basis of the organization's religious character, affiliation, or exercise.</t>
  </si>
  <si>
    <t>This Notice of Funding Opportunity (NOFO) has been modified. The Executive Summary and Section II. Federal Award Information sections have been updated to increase the available funding for this opportunity and Section I. Program Description has clarifying editorial edits.The Administration for Children and Families (ACF), Office of Head Start (OHS) announces the availability of approximately $13,183,977 to be competitively awarded for the purpose of expanding access to high-quality, comprehensive early learning services for newly-enrolled, income-eligible American Indian/Alaska Native (AIAN) pregnant women, and children from birth to compulsory school age through Early Head Start-Child Care (EHS-CC) Partnerships, through the expansion of Head Start services, and/or Early Head Start services.ACF solicits applications from public entities, including states; Native American tribal organizations; Native American tribal governments (federally recognized); private, non-profit organizations, including community-based or faith-based organizations; or for-profit agencies that meet eligibility for applying as stated in section 645A of the Head Start Act. Interested applicants may email OHSgrants@koniag-gs.com  for additional information.OHS encourages interested applicants to visit https://eclkc.ohs.acf.hhs.gov/grant-application/article/decide-whether-apply. This webpage provides information on applying for grants, registering and applying through Grants.gov, submitting an application, and understanding the grant review process.</t>
  </si>
  <si>
    <t>Tribal Colleges and Universities Head Start Partnership Program Grants</t>
  </si>
  <si>
    <t>Public and State controlled institutions of higher education Eligible applicants include Tribal Colleges and Universities as defined in Section 316(b) of the Higher Education Act of 1965 (U.S.C.1059c(b)).   Applications from individuals (including sole proprietorships) and foreign entities are not eligible and will be disqualified from the merit review and funding under this funding opportunity.</t>
  </si>
  <si>
    <t>This NOFO has been modified. Section V.1 Criteria has been updated.The Administration for Children and Families, the Office of Head Start (OHS) announces the availability of $6,000,000 to be competitively awarded to tribal colleges and universities for the purpose of establishing or enhancing partnerships with Head Start programs that effectively increase the number of qualified education staff working in American Indian Alaska Native Head Start and Early Head Start programs.</t>
  </si>
  <si>
    <t>Transboundary Watershed Grants</t>
  </si>
  <si>
    <t>Others (see text field entitled "Additional Information on Eligibility" for clarification) See Section III of the Notice of Funding Opportunity for eligibility information.</t>
  </si>
  <si>
    <t>Through this Notice of Funding Opportunity, EPA Region 10 is announcing the availability of Transboundary Watershed Grants (TWG) to assist state, local governments, and Tribal entities monitor, assess, and reduce transboundary mining pollution in the Kootenai/y watershed, and other U.S.- British Columbia (B.C.) transboundary watersheds. Please refer to the funding opportunity for complete information.</t>
  </si>
  <si>
    <t>FY25 State Fire Capacity Wildfire Hazard Mitigation</t>
  </si>
  <si>
    <t>Native American tribal governments (Federally recognized) All applicants must be within the Southern region of the National Association of State Foresters. Entities other than Southern Area State Forestry Agencies must have support from their State Forestry Agency in order to apply to ensure projects work toward goals of the State Forest Action Plan.</t>
  </si>
  <si>
    <t xml:space="preserve">All non-State Forestry Agency applications (except Tribes) must have a letter of support from the State Forestry Agency when submitting in Grants.gov.The USDA Forest Service State Fire Capacity (SFC) Wildfire Hazard Mitigation priorities are consistent with the goals of the National Cohesive Wildland Fire Management Strategy (https://forestsandrangelands.gov/strategy/thestrategy.shtml), specifically as listed below.1. Restore and Maintain Landscapes: Landscapes across all jurisdictions are resilient to fire-related disturbances, in accordance with management objectives.2. Create Fire Adapted Communities: Human populations and infrastructure can withstand a wildfire without loss of life or property.Additionally, SFC priorities reflect the national USFS priorities of improving the condition of forests, and grasslands, promoting shared stewardship by increasing partnerships and volunteerism, and by being good neighbors and providing excellent customer service.SFC Wildfire Hazard Mitigation application activities should clearly focus on identifying and creating fire adapted communities by:â€¢ Reducing hazardous fuels in the Wildland Urban Interface (WUI)â€¢ Developing, and implementing Community Wildfire Protection Plans (CWPPs)â€¢ Providing prevention and mitigation education, and/orâ€¢ By achieving Fire Adapted Community and Firewise programming and other community hazard mitigation activities. </t>
  </si>
  <si>
    <t>DOS-JOR</t>
  </si>
  <si>
    <t>U.S. Mission to Jordan</t>
  </si>
  <si>
    <t>Others (see text field entitled "Additional Information on Eligibility" for clarification) The following are eligible to apply:  _x000D_
 	Applicants must be alumni of U.S. government-funded exchange program (https://alumni.state.gov/list-exchange-programs) or a U.S. government-sponsored exchange program (https://j1visa.state.gov/). _x000D_
 	Projects teams must include teams of at least two (2) alumni. _x000D_
_x000D_
Not-for-profit organizations, non-governmental organizations, think tanks, and academic institutions are not eligible to apply.  These entities may serve as partners for implementing project activities but not as primary implementers. Individuals who own a private business may not use their organization as a partner to avoid any conflict of interest.</t>
  </si>
  <si>
    <t xml:space="preserve">The Embassy of the United States in Jordan announces an open competition for of U.S. government-funded and U.S. government-sponsored exchange programs â€œalumniâ€ to submit applications to the 2025 Alumni Engagement Innovation Fund (AEIF 2025). We welcome proposals from teams consisting of at least two alumni that meet all program eligibility requirements below. Exchange alumni interested in participating in AEIF 2025 should submit proposals to (JordanAlumni@state.gov) by January 20, 2025/ 5:00 p.m. (Amman time). </t>
  </si>
  <si>
    <t>Smith-Lever Special Needs Competitive Grants Program</t>
  </si>
  <si>
    <t>Others (see text field entitled "Additional Information on Eligibility" for clarification) Eligibility Requirements_x000D_
Applicants for the for the Smith-Lever Special Needs Competitive Grant Program (SLSNCGP) must meet all the requirements discussed in this RFA. Failure to meet the eligibility criteria by the application deadline may result in exclusion from consideration or, preclude NIFA from making an award. For those new to Federal financial assistance, NIFA s Grants Overview provides highly recommended information about grants and other resources to help understand the Federal awards process. _x000D_
_x000D_
Applications may only be submitted by 1862 Land-grant Institutions in the 50 states and the U.S. territories, American Samoa, Guam, Micronesia, Northern Marianas, Puerto Rico, and the U.S. Virgin Islands._x000D_
_x000D_
Award recipients may subcontract to organizations not eligible to apply, provided such organizations are necessary for the conduct of the project. The 1862 Land-grant Institutions may partner with each other as well as with other Land-grant Institutions (e.g., 1890s and 1994s), non- land-grant institutions, and non-governmental organizations within their state or their region on joint proposals._x000D_
_x000D_
Failure to meet an eligibility criterion by the application deadline may result in the application being excluded from consideration or, even though an application may be reviewed, will preclude NIFA from making an award.</t>
  </si>
  <si>
    <t>Within the states and territories, the Cooperative Extension System has repeatedly served as the trusted community organization that has helped to enable families, communities, and businesses to successfully prepare for, respond to and cope with disaster losses and critical incidents. Once a disaster has occurred, the local extension outreach includes: 1) Communicating practical science-based risk information, 2) Developing relevant educational experiences and programs, 3) Working with individuals and communities to open new communication channels, and 4) Mitigating losses and facilitating recovery. NIFA intends to fund Special Needs projects to implement applied scientific programs that serve public needs in preparation for, during and after local or regional emergency situations.</t>
  </si>
  <si>
    <t>FY25 IIJA/IRA Bureau of Land Management Oregon/Washington (ORWA) Threatened and Endangered Species Program</t>
  </si>
  <si>
    <t>Native American tribal governments (Federally recognized)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</si>
  <si>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BLM Oregon/Washington (ORWA)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ORWA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</si>
  <si>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FY 2025 Bus Safety and Accessibility Research Competitive Program</t>
  </si>
  <si>
    <t>City or township governments Providers of public transportation.</t>
  </si>
  <si>
    <t xml:space="preserve">The Federal Transit Administration (FTA) announces the opportunity to apply for $10 million in Fiscal Year (FY) 2025 for projects that enhance mobility innovation for transit under the Public Transportation Innovation Program (49 U.S.C. 5312). The strategic goal for this program is to make existing and new buses safer for their operators and vulnerable road users, and safer and more accessible for their passengers. The Bus Safety and Accessibility Research Program seeks proposals to research standard bus designs, safety innovations and systems, and bus compartments that support these safety and accessibility goals. Additionally, this NOFO will require the development of detailed design specifications and production of a prototype that is available through a retrofit on existing buses and for installation in new buses.  NOTICE: The November 18 Federal Register Notice contains errors regarding requirements and forms for applicants. For complete application information, see the Bus Safety NOFO required application materials.pdf in the "related documents" folder.  </t>
  </si>
  <si>
    <t>Advancing Public Health Actions to Prevent and Control Chronic Disease in the U.S. Territories and Freely Associated States</t>
  </si>
  <si>
    <t>City or township governments Ability to access and submit dataIf you are not a Department or Ministry of Health in the jurisdiction you are applying for, you must attach a memorandum of agreement (MOA) or memorandum of understanding (MOU) with the Department or Ministry of Health in that jurisdiction. We require specific surveillance and health system data from recipients to make sure you are meeting performance measures. Therefore, you must demonstrate that you will be able to access that data and submit it to us.   The MOU or MOA should specify that the Department or Ministry of Health will do the following:   Provide you with access to surveillance and health system data.  Grant you the authority to submit the data to CDC.  Collaborate with you to make sure complete data are submitted to CDC.   You must provide the MOU or MOA in an attachment labeled   when you submit your application via Grants.gov.   Location   You must provide proof of your location in one of the U.S. territories or freely associated states listed here:   American Samoa  The Commonwealth of the Northern Mariana Islands (CNMI)  The Federated States of Micronesia (FSM)  Guam  Puerto Rico  The Republic of the Marshall Islands (RMI)  The Republic of Palau  The U.S. Virgin Islands   You must be able to implement this program in the U.S. territory or freely associated state in which you operate and are located.   Evidence of location may include documentation showing that you are a territorial government or a bona fide agent in the U.S. territory or freely associated state. A bona fide agent is an agency or organization recognized by the state as eligible to submit an application under state eligibility in place of a state application.   If you are applying as a territorial government or bona fide agent of a jurisdiction or local government, you must attach evidence of location documentation from the state or local government. This documentation must be provided as an attachment labeled  Evidence of Location  when you submit your application via Grants.gov.</t>
  </si>
  <si>
    <t>Six out of ten adults living in the United States have at least one chronic disease. The cost of managing individuals with chronic conditions is a significant portion of the nationâ€™s healthcare expenses. The United States has made progress in chronic disease prevention and control over recent decades. However, similar advancements have not been made in the U.S. territories and freely associated states.   The U.S. territories and freely associated states include:   American Samoa  The Commonwealth of the Northern Mariana Islands (CNMI)  The Federated States of Micronesia (FSM)  Guam  Puerto Rico  The Republic of the Marshall Islands (RMI)  The Republic of Palau  The U.S. Virgin Islands   The unique challenges these islands face make addressing chronic disease particularly complex. These challenges include:   High disease burden.  Dispersed populations.  Limited infrastructure.  Diverse cultures and languages.  Vulnerability to natural disasters.  Strained healthcare systems.  High healthcare costs.   This cooperative agreement will support integrated, evidence-based strategies and activities to prevent and manage chronic disease in the U.S. territories and freely associated states. This notice of funding opportunity (NOFO) aims to reduce disability and death rates associated with chronic diseases by decreasing the prevalence of modifiable risk factors that contribute to chronic diseases in these islands. Focus areas include:   â€‹Preventing and reducing tobacco use and secondhand smoke exposure.  â€‹Preventing and managing diabetes.  â€‹Improving oral health disparities.   There are two components to this NOFO. The first is a required Core Component, which uses evidence-based strategies to promote health and reduce chronic disease. The second is an optional, competitive Oral Health Component, which addresses oral disease with evidence-based interventions and practices.</t>
  </si>
  <si>
    <t>Others (see text field entitled "Additional Information on Eligibility" for clarification) Alumni who participated in a U.S. government-sponsored exchange program</t>
  </si>
  <si>
    <t>The Department of State, U.S. Embassy, Mission South Africa, Public Diplomacy Section (PDS) is pleased to announce the roll-out of the 2025 Alumni Engagement Innovation Fund (AEIF). The Alumni Engagement Innovation Fund (AEIF) is an annual funding opportunity designed to invest in U.S. government-funded exchange participants and programs by helping alumni develop and implement projects that promote shared interests and policy objectives and benefit local communities. We invite you to submit proposals for projects that meet the requirements of the program (discussed in Section C below). Please read this notice carefully before preparing and submitting a funding proposal.Please also note the following: This solicitation does not constitute an award commitment by the U.S. Department of State. A final award cannot be made until the proposal has been reviewed and approved, and an award agreement is drawn up and signed by a grants officer. The Embassy reserves the right not to issue an award after receipt of any proposal. The Embassy also reserves the right to reduce, revise, and/or increase a proposal budget in accordance with the needs of the program and availability of funds.-----------Please do not apply for this funding opportunity if youâ€™re not an alum.-----------</t>
  </si>
  <si>
    <t>2025 Forest Service Eastern Region Cohesive Wildland Fire Management Strategy NOFO</t>
  </si>
  <si>
    <t>State governments Forest Fire Compacts</t>
  </si>
  <si>
    <t xml:space="preserve">The U.S. Forest Service supports moving toward shared stewardship across Landscapes as part of a conceptual framework for making strategic investments across landscapes to co-manage wildfire risk and achieve positive outcomes at the most appropriate scale. Within this framework, Eastern Region Cohesive Fire Strategy Competitive Request for Applications is designed to support and carry out the first two goals of the National Cohesive Wildland Fire Management Strategy (NCS) across the Midwestern and Northeastern States as well as meet the intent of the current year budget direction. These first two national goals are: 
  Restore and Maintain Landscapes: Landscapes across all jurisdictions are resilient to fire-related disturbances in accordance with management objectives. 
 Create Fire Adapted Communities: Human populations and infrastructure can withstand a wildfire without loss of life and property. 
</t>
  </si>
  <si>
    <t>Alumni Engagement Innovation Fund (AEIF)</t>
  </si>
  <si>
    <t>DOS-MOZ</t>
  </si>
  <si>
    <t>U.S. Mission to Mozambique</t>
  </si>
  <si>
    <t>Others (see text field entitled "Additional Information on Eligibility" for clarification) The following not-for-profit organizations are eligible to apply:_x000D_
_x000D_
_x000D_
 	Alumni Associations_x000D_
_x000D_
 	Organizations led by or partnering with USG alumni_x000D_
_x000D_
 	An individual (leading the project team)_x000D_
_x000D_
 	Applicants must be alumni of a U.S. government-funded or sponsored exchange program or a U.S. government-sponsored exchange program (https://j1visa.state.gov/). _x000D_
_x000D_
 	Projects teams must include teams of at least two (2) alumni. _x000D_
_x000D_
 	Alumni who are U.S. citizens may not submit proposals, but U.S. citizen alumni may participate as team members in a project._x000D_
_x000D_
 	Alumni teams may be comprised of alumni from different exchange programs and different countries. _x000D_
_x000D_
Note: Applications must be submitted by exchange alumni or alumni associations of USG exchange alumni. No other organizations are eligible to apply. Exchange alumni can partner with not-for-profit or non-governmental organizations, think tanks, and academic institutions to implement project activities. The grant can be issued to the individual alumni or the partner organization. _x000D_
_x000D_
_x000D_
For-profit or commercial entities are not eligible.</t>
  </si>
  <si>
    <t>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AEIF is designed to help U.S. government exchange alumni develop and implement projects that support U.S. foreign policy objectives, promote shared interests, and benefit local communities. All AEIF projects must 1) convene alumni from different exchange programs to build or expand an alumni network capable of working together on common interests and increase regional and global collaboration of alumni, 2) strengthen the relationship between alumni and the U.S. government to work together on activities that address mutual goals and challenges, and/or 3) support alumni as they develop their leadership capacity and implement projects in their communities.
This year, pending availability of funding, AEIF 2025 will accept public service projects proposed and managed by teams of at least two (2) alumni.
Proposals must address at least one of the below-mentioned themes and demonstrate a commitment to Diversity, Equity, Inclusion, and Accessibility (DEIA) principles. They should illustrate how the project will support and advance equity with respect to religion, income, geography, gender identity, sexual orientation, and/or disability.
Proposals that do not address the theme as outlined in the program objectives will be deemed ineligible. All project activities must take place outside of the United States and its territories.
This cycle, the Public Diplomacy Section welcomes proposals in the following themes:
 Education Partnerships 
Proposals in this area may focus strengthening links between U.S. and Mozambican education institutions at the secondary and tertiary level. Examples include joint research projects that pair Mozambican and U.S. students and academics to address shared topics of concern, such as climate change, trades fields, migration, economic growth, history, culture, food security, inclusion, accessibility, STEM, and tech access. Vocational and technical training is also welcome.
 English Language Learning
Proposals in this area may focus on one or more of the following: expanding access to English language education through teacher training programs, direct teaching of English language to targeted groups, curriculum development, expanding language learning resources, professional development, linking English language learning with career development, and improving Mozambicanâ€™s English level for prerequisite testing for admission to U.S. institutions of higher learning.
 Social Impact Entrepreneurship
Proposals in this area develop entrepreneurship ecosystems, by supporting social impact entrepreneurship endeavors that address environmental, educational banking, agricultural, health and accessibility, technological, and infrastructure challenges with for-profit businesses solutions. Proposals may support capacity-building for aspiring entrepreneurs, certifications, and access to seed funding enterprises with a significant social impact. Special emphasis will be given to proposals that are inclusive and demonstrate scalability after the proposal period is complete.
 Strengthening Media Ecosystem
Proposals in this area should enhance press freedoms and improve the capacity of journalists (senior and aspiring), to improve reporting standards, the quantity and quality of investigative reports, and increase media literacy for the public. This includes focusing on countering dis/mis information, as well as media access for underserved areas of Mozambique and underserved populations, including people with disabilities and those who only speak vernacular languages. Initiatives may focus on promoting collaboration between Mozambican and U.S. media organizations that deliver key improvements in countering disinformation, establishing ethical journalism standards, improving journalist safety, and increasing the sustainability of independent media outlets.</t>
  </si>
  <si>
    <t>Coupling, Energetics, and Dynamics of Atmospheric Regions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</si>
  <si>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</si>
  <si>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The Coupling, Energetics, and Dynamics of Atmospheric Regions (CEDAR) program supports research to increase our understanding of the behavior of atmospheric regions from the middle atmosphere upward through the thermosphere and ionosphere into the exosphere. Projects explore coupling, energetics, chemistry, and dynamics on regional and global scales. The research topics include investigations of upper atmosphere responses due to a) processes driven by the lower atmospheric perturbations and (b) solar radiation and particle inputs from above. The activities supported by this program include observations from ground-based and space-based platforms, as well as theory and modeling of the upper atmosphere of the Earth and other planets in our solar systems. Novel approaches that include AI and ML tools and open data and open science practices are encouraged.</t>
  </si>
  <si>
    <t>ROSES 2024: A.22 NASA Energy and Water Cycle Study</t>
  </si>
  <si>
    <t xml:space="preserve">Please note that this program requests optional Notices of Intent, which are due via NSPIRES by January 9,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</si>
  <si>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NASA Established Program to Stimulate Competitive Research (EPSCoR) Rapid Response Research (R3)</t>
  </si>
  <si>
    <t>Others (see text field entitled "Additional Information on Eligibility" for clarification) The National Science Foundation (NSF) determines overall jurisdiction eligibility for NASA EPSCoR. The latest available NSF eligibility tables are used to determine overall jurisdiction eligibility for NASA EPSCoR. The NSF 2023 eligibility table is available at: https://nsf-gov-resources.nsf.gov/2022- 06/EPSCoR%20Eligibility%20Table%20Fiscal%20Year%202023.pdf. The following jurisdictions are eligible to submit a proposal in response to this NOFO: Alabama, Alaska, Arkansas, Delaware, Guam, Hawaii, Idaho, Iowa, Kansas, Kentucky, Louisiana, Maine, Mississippi, Montana, Nebraska, Nevada, New Hampshire, New Mexico, North Dakota, Oklahoma, Puerto Rico, Rhode Island, South Carolina, South Dakota, U.S. Virgin Islands, Vermont, West Virginia, and Wyoming. Only three proposals per Institution within the EPSCoR Jurisdiction shall be accepted. Proposals shall be submitted through the Authorized Organization Representative (or their designee).</t>
  </si>
  <si>
    <t>This Notice of Funding Opportunity (NOFO) solicits proposals that are expected to establish researchactivities that will make significant contributions to NASAâ€™s strategic research and technologydevelopment priorities and contribute to the overall research infrastructure, science, and technologycapabilities of higher education, as well as the economic development of the jurisdiction receiving funding.Each funded NASA EPSCoR proposer shall work closely with a NASA researcher to focus on developingcompetitive research and technology for the solution of scientific and technical issues of importance to theNASA Mission Directorates and Centers as listed in the Appendix-A, NASA Mission Directorates andCenter Alignment. This will allow EPSCoR researchers to work alongside NASA and commercial partnersand is intended to strengthen the bonds among NASA EPSCoR jurisdictions, NASA, commercial partners,and other entities.</t>
  </si>
  <si>
    <t>FY25 IIJA/IRA Bureau of Land Management Oregon/Washington (ORWA) Rangeland Resource Management</t>
  </si>
  <si>
    <t>Epitranscriptomics Crosstalks and Toxicants (EPCOT) (R01 Clinical Trials Not Allowed)</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</si>
  <si>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eligible to apply.
Foreign components, as defined in the NIH Grants Policy Statement, are allowed.</t>
  </si>
  <si>
    <t>The purpose of this initiative is to solicit new R01 applications that propose innovative studies to explore how exposures to environmental toxicants may inhibit, create new or otherwise impact epitranscriptomic crosstalks and provide mechanistic insights into how these interactions play a role in initiation, progression, and/or exacerbation of adverse health outcomes.  Epitranscriptomic crosstalks are defined as interactions between epitranscriptomic marks and associated Readers Writers and Erasers (RWEs) and epigenomic marks and/or epigenomic RWEs, and genomic structures.</t>
  </si>
  <si>
    <t>NOI to Issue Notice of Funding Opportunity DE-FOA-0003495 titled Accelerating CO2 Conversion Technology Development and Deployment   Biological, Catalytic, and Mineralization Pathways.</t>
  </si>
  <si>
    <t>Unrestricted (i.e., open to any type of entity above), subject to any clarification in text field entitled "Additional Information on Eligibility" Eligibility Requirements will be identified in any Notice of Funding Opportunity that may result from this NOI.</t>
  </si>
  <si>
    <t>The Notice of Intent is for informational purposes only and DOE is not seeking comments on the information contained in the notice. This is a Notice of Intent to Issue Notice of Funding Opportunity DE-FOA-0003495 titled Accelerating CO2 Conversion Technology Development and Deployment â€“ Biological, Catalytic, and Mineralization Pathways. The objective of this Notice of Funding Opportunity is to competitively solicit cost-shared research and development proposals to advance the piloting of carbon conversion technologies of with high technology readiness level (TRL 5) capable of achieving significant carbon mitigation via biological, catalytic, or mineralization pathways.</t>
  </si>
  <si>
    <t>F25AS00099_FY 2025 Competitive State Wildlife Grant (C-SWG) Program_Funding Opportunity Announcement</t>
  </si>
  <si>
    <t xml:space="preserve">Others (see text field entitled "Additional Information on Eligibility" for clarification) Please note that ONLY the State, Territory, and District of Columbia fish and wildlife agencies and the four regional associations of fish and wildlife agencies (NEAFWA, SEAFWA, MAFWA, and WAFWA) are eligible to apply. All other entities including but not limited to academic institutions, non-profit or for-profit organizations, private landowners or other individuals, or local units of government are not eligible to apply. Applications are reviewed for eligibility based on criteria provided in the  Application Review Information  section of this announcement, under  Eligibility Review. </t>
  </si>
  <si>
    <t>The Competitive State Wildlife Grant (C-SWG) Program provides Federal cost sharing awards to help the State, Territory, and District of Columbia fish and wildlife agencies and their associations design and implement proactive conservation programs benefiting wildlife and their habitats. Proactive approaches to conservation help recipients and their conservation partners avoid more prescriptive Federal regulatory requirements associated with species listing under the Endangered Species Act.Eligible activities include conservation planning and implementation. Planning activities include strategic enhancements to a State or Territory Wildlife Action Plan (Plan) that address best practices identified in this announcement. Implementation activities are those carried out to execute an approved Plan. Priority for use of these funds must be placed on species of greatest conservation need (SGCN) and/or their habitats.This announcement provides complete information on preparing and submitting an application, including details on award Tiers, partnership requirements, and the maximum Federal share of an award. The award Tiers are intended to encourage partnerships dedicated to cross-jurisdictional conservation efforts supporting landscape-scale conservation. Information on the C-SWG Program and the Plan Enhancement Subprogram is provided separately. Tables showing the Tier limits and requirements are available here.</t>
  </si>
  <si>
    <t>Ocular Laboratory for Analysis of Biomarkers (OCULAB)</t>
  </si>
  <si>
    <t xml:space="preserve">November 5, 2024: The Advanced Research Projects Agency for Health (ARPA-H) posts this funding opportunity in support of the OCUlar Laboratory for Analysis of Biomarkers (OCULAB) Program. ARPA-H anticipates multiple awards and award types will result from this announcement.
November 4, 2024: The purpose of this amendment is to provide the details of the OCULAB Proposers' Day
October 18, 2024: The Advanced Research Projects Agency for Health (ARPA-H) posts this Special Notice to alert the potential proposer community to the Ocular Laboratory for Analysis of Biomarkers (OCULAB) Program.
ARPA-H will host a Proposers' Day and the event will allow for both in-person and virtual participation. The event is intended to facilitate teaming, foster a greater understanding of the OCULAB Program, and provide information related to the OCULAB Innovative Solutions Opening (ISO) that ARPA-H anticipates posting by the end of October.
After reviewing the attached Special Notice ARPA-H-SN-25-115, potential proposers are encouraged to register and complete a teaming profile at the link provided https://solutions.arpa-h.gov/OCULAB
</t>
  </si>
  <si>
    <t>DOS-NAM</t>
  </si>
  <si>
    <t>U.S. Mission to Namibia</t>
  </si>
  <si>
    <t>Others (see text field entitled "Additional Information on Eligibility" for clarification)  	Applicants must be alumni of a U.S. government-funded or sponsored exchange program (https://alumni.state.gov/list-exchange-programs ) or a U.S. government-sponsored exchange program (https://j1visa.state.gov/). _x000D_
 	Projects teams must include teams of at least two (2) alumni. _x000D_
 	Alumni who are U.S. citizens may not submit proposals, but U.S. citizen alumni may participate as team members in a project._x000D_
 	Alumni teams may be comprised of alumni from different exchange programs and different countries. _x000D_
 	Applications must be submitted by exchange alumni or alumni associations of USG exchange alumni. Not-for-profit, non-governmental organizations, think tanks, and academic institutions are not eligible to apply in the name of the organization but can serve as partners for implementing project activities.</t>
  </si>
  <si>
    <t xml:space="preserve">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AEIF 2025 will support United Statesâ€™ commitment in prioritizing initiatives that aim promote democracy and transparency, entrepreneurship, education and English, sustainable resources, and media and civil society capacity building.
ï»¿AEIF is designed to increase the impact of the U.S. governmentâ€™s investment in exchange participants and programs by helping alumni develop and implement projects that support U.S. foreign policy objectives, promote shared interests, and benefit local communities. 
</t>
  </si>
  <si>
    <t>IIJA/IRA Bureau of Land Management Alaska Aquatic Resource Management</t>
  </si>
  <si>
    <t>County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</si>
  <si>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Managementâ€™s (BLM) Alaska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Alaska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Alaska Aquatic Resources Program continues to advance the Department of the Interior's priorities to address the climate crisis, restore balance on public lands and waters, advance environmental justice, and invest in a clean energy future. The BLM Alaska Aquatic Resources Program has an opportunity to work with partner organizations to assist with:Combating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communities.Refer to attachment: Suggested Focal Areas for BLM Alaska for further information</t>
  </si>
  <si>
    <t>FY2024 Historic Preservation Fund - Historically Black Colleges and Universities Grants</t>
  </si>
  <si>
    <t>Public and State controlled institutions of higher education ONLY accredited HBCU institutions may apply.  https://nces.ed.gov/COLLEGENAVIGATOR/?s=all pg=1Properties must be listed in or eligible for listing in the National Register of Historic Places or designated a National Historic Landmark, either individually or as contributing to a historic district. Properties that are eligible for listing in the National Register of Historic Places must submit a Determination of Eligibility from their State Historic Preservation Office with their application. Projects not listed in the National Register must prepare or amend a nomination as part of the grant project and should budget for that work in their application.</t>
  </si>
  <si>
    <t>In 1988, the Historically Black Colleges and Universities (HBCU) Preservation grant program was established to document, preserve, and stabilize historic structures on HBCU campuses. Historic resources on campuses of accredited Historically Black Colleges and Universities that are listed or eligible for listing in the National Register of Historic Places either individually or as contributing to a National Register or National Historic Landmark historic district are eligible for this program. Projects must meet major program selection criteria and all work must follow the Secretary of the Interiorâ€™s Standards and Guidelines for Archeology and Historic Preservation.  Projects may also fund survey, nomination, and preservation planning for historic HBCU campuses.</t>
  </si>
  <si>
    <t>NIMHD Minority Health and Health Disparities Research Training (MHRT) Program (T37 Clinical Trial Not Allowed)</t>
  </si>
  <si>
    <t>Public and State controlled institutions of higher education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See NOFO for further eligibility criteria.Non-domestic (non-U.S.) Entities (Foreign Institutions) are not eligible to apply.Non-domestic (non-U.S.) components of U.S. Organizations are not eligible to apply.</t>
  </si>
  <si>
    <t>The purpose of this Notice of Funding Opportunity (NOFO) is to support research training activities in minority health and health disparities research for individuals from diverse backgrounds, including groups underrepresented in biomedical, behavioral, clinical and social sciences research based at domestic institutions. Research experiences would be at domestic institutions and/or at specified international low and middle income country (LMIC) locations for eligible undergraduate students, graduate students, clinical residents, research fellows, and postdoctoral trainees.</t>
  </si>
  <si>
    <t>FY25 IIJA/IRA Bureau of Land Management Idaho (ID) Recreation and Visitor Services</t>
  </si>
  <si>
    <t>FY25 IIJA/IRA Bureau of Land Management Idaho (ID) Threatened and Endangered Species Program</t>
  </si>
  <si>
    <t>Native American tribal organizations (other than Federally recognized tribal governments) Individuals and For-Profit Organizations are ineligible to apply for awards under this NOFO.This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Applicants should specify if their proposal furthers the purpose of the CESU program, and if so which CESU Network should be considered as host.</t>
  </si>
  <si>
    <t>The Bureau of Land Management's (BLM) Idaho (ID) Threatened and Endangered Species Program focuses on implementing the Department of Interiorâ€™s priorities by emphasizing actions that: protect biodiversity; slow species extinction rates; increase resilience to climate change and help leverage natural climate solutions; contribute to conserving at least 30 percent of our lands and waters by the year 2030; support State agencies to meet State wildlife population objectives; engage communities of color, low income families, and rural and indigenous communities to enhance economic opportunities related to wildlife; and use the best science and data available to make decisions. The BLM (ID) Threatened and Endangered Species Program has an opportunity to work with partner organizations to assist with:Contributing to the above-described Program strategic goals.On-the-ground actions that conserve and recover federally-listed, Bureau sensitive, and rare wildlife and plants.Targeted inventory and monitoring to determine species status and conservation opportunities.Gaining knowledge about federally-listed, Bureau sensitive, and rare species and their habitats including, but not limited to, propagation, genetics, ecology and threats.Providing for proactive protection or management of federally-listed, Bureau sensitive, and rare species and their habitats, consistent with ESA section 7a1.Augmenting federally-listed, Bureau sensitive, and rare species through translocations, seed collections, and/or propagation.Increasing program efficiencies and effectiveness in Endangered Species Act (ESA) section 7a2 consultations and ESA section 7a1 conservation programs.Increasing public knowledge of federally-listed, Bureau sensitive, and rare wildlife and plants on BLM managed lands, including with a targeted focus on communities of color, low-income families, and rural and indigenous communities.Communications including program outreach, education, and Program website updates.</t>
  </si>
  <si>
    <t>FY25 IIJA/IRA Bureau of Land Management Idaho (ID) Invasive and Noxious Plant Management</t>
  </si>
  <si>
    <t>BLM Idaho (ID) Invasive and Noxious Plant Management Programs work to prevent, detect, inventory, control, and monitor weed populations on public lands.Invasive species cost the public millions of dollars in control and management each year and many invasive plants and noxious weeds are highly competitive and have the ability to permanently degrade our public lands.Noxious weeds and invasive species expansion are recognized as the single greatest threat to our native plant communities and the values they provide us.These native plant communities are essential for supporting wildlife habitat, watershed function, recreation opportunities, rural economies and working landscapes.Invasive plants and noxious weeds affect plant and animal communities on farms and ranches, and in parks, waters, forests, natural areas, and backyards in negative ways.Human activity such as trade, travel, and tourism have all increased substantially, escalating the speed and volume of species movement to unprecedented levels.Increased site vulnerability from wildfires that are more frequent and other disturbances is an ongoing challenge to maintaining the integrity of our native plant communities.Noxious weeds are particularly aggressive plants legally designated by states as being injurious to public health, the environment or the economy.Invasive species and noxious weeds adversely affect overall recreational opportunities on public land i.e., hunting, fishing, camping, hiking, watershed health and ecosystem function which result in economic losses in rural and urban communities.Affect adjacent private lands, both rural and urban, causing widespread economic losses to the agricultural industry as well as to other resources.</t>
  </si>
  <si>
    <t>FY25 IIJA/IRA Bureau of Land Management Idaho (ID) Rangeland Resource Management</t>
  </si>
  <si>
    <t>The Rangeland Management program conducts inventories, assessments and evaluations of soil and vegetation conditions and land health. Monitoring data is collected and analyzed to ensure progress toward meeting land health standards.Funded projects under this program will focus on high priority work effecting the program nationally by crossing state boundaries, such as, activities that support maintaining or achieving land health and productivity, increasing carbon sequestration, and creating resilient landscapes to benefit current and future generations. These activities could include, but are not limited to, such things as: Facilitating the conservation and restoration of rangelands to combat climate change.Soils mapping and development of ecological site descriptions.Engagement of community members and other stakeholders, through mentoring, training, and educational programs. Public education of Idaho's rangelands.</t>
  </si>
  <si>
    <t>FY25 IIJA/IRA Bureau of Land Management Idaho (ID) Aquatic Resource Management</t>
  </si>
  <si>
    <t>The Bureau of Land Managementâ€™s (BLM) Idaho (ID) Aquatic Resources Program protects and restores riparian and wetland areas, aquatic habitats, and water resources to provide functioning ecosystems for a combination of balanced and diverse uses including fish and wildlife, and for the long-term needs of future generations. Policy guidance for the Program ensures that public land management based on multiple use and sustained yield provides healthy and productive riparian, wetland, and aquatic habitat, achieves land health standards, and considers societyâ€™s long-term needs for healthy watersheds. The issues the Program addresses are diverse and include restoration, habitat fragmentation and degradation, drought resiliency, water availability, and aquatic invasive species. Program staff provide professional expertise and policy guidance to BLM managers, Federal, State, Tribal, and local governments, and non-governmental partners on these issues, and implement the best management practices to minimize or avoid impacts to water resources, riparian and wetland areas, and aquatic habitats on public lands. This program supports projects funded through the Infrastructure Investment and Jobs Act, Section 40804 (b) Ecosystem Restoration.  This program also supports projects funded through the Inflation Reduction Act (IRA), Sections 50221 Resilience, 50222 Ecosystems Restoration and 50303 DOI.The BLM Idaho Aquatic Resources Programâ€™s core functions include:Ecosystem Structure and Function: Protect and restore the physical and ecological processes of functioning riparian and wetland areas, aquatic habitats, and water resources.Water Quality: Protect and restore the chemical, physical, and biological integrity of surface water and groundwater.Water Availability: Ensure that water is legally and physically available for beneficial uses, including protection and restoration actions.Riparian, Wetland, and Aquatic Habitat: Proactively protect and restore riparian, wetland, and aquatic habitats to ensure the presence, abundance, and diversity of healthy, self-sustaining, and desirable riparian, wetland, and aquatic species and other wildlife and plant populations that depend upon these habitats, including special status species.Decision Support: Inventory, assess, and monitor aquatic resources to inform our understanding of condition and trend, guide the BLMâ€™s management activities, and assess regulatory compliance.Environmental Compliance: Ensure full compliance with applicable federal law, Executive Orders, regulations, and policy and with state law to the extent consistent with federal law.Internal &amp; External Involvement: Consult, coordinate, cooperate, and collaborate with federal, state, tribal, and local governments and other programs, partners, and communities, to foster adaptive approaches to protection and restoration and implement education and outreach programs.The BLM Idaho (ID) Aquatic Resources Program continues to advance the Department of the Interior's priorities to address the climate crisis, restore balance on public lands and waters, advance environmental justice, and invest in a clean energy future. The BLM Idaho (ID) Aquatic Resources Program has an opportunity to work with partner organizations to assist with:Contributing to the above-described Program core functions.Combating climate change and habitat loss impacts to aquatic resources.Restoring and connecting degraded aquatic resources.Increasing ecosystem resistance, resilience, and adaptability to drought, wildfires, and floods.Determining acceptable levels of hydrologic and ecological change given BLM management objectives.Advancing inventory, assessment, and monitoring activities and tools.Preventing the establishment and spread of invasive species.Increasing public knowledge of aquatic habitats on BLM managed lands, including with a targeted focus on communities of color, low-income families, and rural and indigenous communities.Special Status Species fish research</t>
  </si>
  <si>
    <t>FY25 IIJA/IRA Bureau of Land Management Idaho (ID) Cultural and Paleontological Resource Management</t>
  </si>
  <si>
    <t>Broadly, the objective is to develop partnerships to improve access to, and use of, heritage resources, and promote their educational, scientific, cultural, and recreational values in a manner that meets U.S. Department of the Interior priorities and Cultural Heritage and Paleontology Program goals. Individual projects shall meet one or more of the following objectives.Conduct studies, including inventory, excavation, records research, and collections-based research to improve the understanding of Americaâ€™s natural and cultural history;Monitor at-risk heritage resources to track trends in condition and project effectiveness;Stabilize at-risk heritage resources;Train future cultural resource management practitioners and paleontologists through research projects, field schools and internships that highlight BLM resources;Assist with cultural heritage data and records management activities such as organizing, maintaining, and scanning site and survey records; creating, digitizing and maintaining geospatial data; and performing data entry;Preserve existing collections at recognized curation facilities through such activities as archival housing, stabilization or conservation;Broaden public access to museum collections;Promote engagement with Native American communities and foster partnerships with tribal governments and programs;Promote public engagement, learning opportunities, and conservation/preservation ethics through heritage resources education and outreach programs, events, and products;Develop and maintain historic sites with interpretive and educational potential.Partner to support BLMâ€™s Tribal consultation effortsArchaeological curationState historic preservation public outreachData management</t>
  </si>
  <si>
    <t>FY25 IIJA/IRA Bureau of Land Management Idaho (ID) Forest and Woodlands Resource Management</t>
  </si>
  <si>
    <t>Independent school districts Individuals and For-Profit Organizations are ineligible to apply for awards under this NOFO. This program NOFO does not support entities hiring interns or crews under the Public Lands Corps Act of 1993. The Public Lands Corps Act of 1993, 16 USC, Chapter 37, Subchapter II-Public Lands Corps, is the only legislative authority that allows BLM to   interns under this authority. Therefore, eligible Youth Conservation Corps may only apply for projects developed under NOFO 15.243   BLM Youth Conservation Opportunities on Public Lands.CESUs are partnerships with a purpose to promote, conduct, and provide research, studies, assessments, monitoring, technical assistance, and educational services. If a cooperative agreement is awarded to a CESU partner under a formally negotiated Master CESU agreement which is consistent with the CESU purpose, indirect costs are limited to a rate of no-more-than 17.5 percent of the indirect cost base recognized in the partner's Federal Agency-approved Negotiated Indirect Cost Rate Agreement (NICRA). Applicant s should specify if their proposal furthers the purpose of the CESU program, and if so which CESU Network should be considered as host.</t>
  </si>
  <si>
    <t>Funded projects under this program will focus on high priority work such as activities that promote forest and woodland health, sustainable forest management, fire resiliency, biomass utilization for bioenergy, habitat conservation needs, and insect, disease and fire recovery on public lands. These activities could include, but are not limited to: planting trees, pre-commercial and commercial thinning, salvage/sanitation forest treatments, control of competing vegetation, fuels reduction, riparian or upland restoration, project development and layout, planning analysis and document preparation needed in concert with or to carry out NEPA, Endangered Species Act or cultural clearances, data collection, and monitoring. Priority activities under this announcement include preparation, administration, or implementation projects that treat forest and woodlands nationally (see following description):1. One or more components of preparing a project (site surveys, environmental clearances, NEPA preparation, project layout, timber cruising, timber marking, boundary designation, and other tasks related to preparing a project).2. One or more components of administering a project (subcontracting, advertising for bid, awarding a subcontract or timber sale, subcontract performance inspection, and other tasks related to administering a project.3. Activities to achieve Land Management Goals (see Stewardship Manual for definition) or acres/ units of forest or woodland treatments conducted.4. Implement science-based forest restoration projects to improve forest health and resilience to wildfires, insects, disease, and drought.</t>
  </si>
  <si>
    <t>NINDS Exploratory Clinical Trials (UG3/UH3 Clinical Trial Required)</t>
  </si>
  <si>
    <t>The purpose of this Funding Opportunity Announcement (FOA) is to encourage grant applications for investigator-initiated exploratory clinical trials to the National Institute of Neurological Disorders and Stroke (NINDS). The trials must address questions within the mission and research interests of the NINDS and may include Phase 1 and 2 studies of drugs and biologics, feasibility studies of devices, and early studies of surgical, behavioral or rehabilitation therapies. All exploratory trials must contribute to the justification for and provide some of the data required to inform a future trial to establish efficacy (such as a Phase 3, Phase 4 or Pivotal trial). This FOA uses the UG3/UH3 mechanism. Only projects that provide satisfactory progress in the UG3 phase may move to the UH3 phase, as outlined below.
For a drug, biologic or device that has not completed a Phase 1/Early Feasibility trial:
The UG3 mechanism will be used to plan and execute the Phase I trial(s). If Phase 1 trials are successful, the UG3 will also include the planning phase of a Phase 2 trial. The UH3 mechanism will then support the execution of the Phase 2 clinical trial. Transition to the UH3 will depend on successfully reaching agreed upon milestones.</t>
  </si>
  <si>
    <t>Institute of Education Sciences (IES): National Center for Education Research (NCER): Research Training Programs in The Education Sciences, Assistance Listing Number (ALN) 84.305B</t>
  </si>
  <si>
    <t>City or township governments 1.  Eligible Applicants:  For the Pathways to the Education Sciences topic, the applicant must either be: 	A minority-serving institution  (MSI) located in the territorial United States that confers bachelor s or master s degrees in academic fields relevant to education; or 	An academic institution located in the territorial United States that confers bachelor s or master s degrees in academic fields relevant to education and that partners with an eligible MSI.  Any member of the partnership may serve as the grantee.An institution may not submit an application to the Pathways Training Program, or be a partner on an application, if it is the grantee or partner on an FY 2021 Pathways Training grant award.For Predoctoral Interdisciplinary Research Training Program in the Education Sciences, the applicant must be an academic institution located in the territorial United States that confers doctoral degrees in academic fields relevant to education.  An institution may not submit an application to the Predoctoral Training Program if it received an FY 2020 Predoctoral Training grant award.For Early Career Development and Mentoring Program for Education Research and Methods Training for Education Researchers, applicants that have the ability and capacity to conduct scientifically valid research are eligible to apply.  Eligible applicants include, but are not limited to, nonprofit and for-profit organizations and public and private agencies and institutions of higher education, such as colleges and universities.</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</si>
  <si>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Through the Research Training Programs in the Education Sciences Grant Program, IES aims to prepare individuals to conduct rigorous and relevant education research that advances knowledge within the field and addresses issues important to education policymakers and practitioners. 
Assistance Listing Number (ALN) 84.305B.</t>
  </si>
  <si>
    <t>AEIF Latvia 2025</t>
  </si>
  <si>
    <t>DOS-LVA</t>
  </si>
  <si>
    <t>U.S. Mission to Latvia</t>
  </si>
  <si>
    <t>Others (see text field entitled "Additional Information on Eligibility" for clarification) Applications must be submitted by exchange alumni (individually or from non-governmental organizations they represent) or alumni associations. For-profit and academic institutions are not eligible to apply in the name of the organization but can serve as partners for implementing project activities.</t>
  </si>
  <si>
    <t>In 2022, the United States and Latvia celebrated 100 years of diplomatic relations. Today, the United States and Latvia are strategic partners, committed to defending our achievements and ensuring that future generations will have the same personal liberties, human rights, and economic freedoms that we enjoy.  
Looking to the future, our alliance faces new challenges: disinformation and malign influence; hybrid attacks; transnational corruption and crime and social divisions that threaten our stability and security. The Embassy seeks alumni projects that will help our alliance adapt and be resilient to the challenges posed by these complex issues and result in an even stronger U.S.-Latvia partnership. We invite our alumni to submit a project that will advance this vision.  
Proposals must address themes that strengthen the U.S.-Latvia partnership through the role of civil society, NGOs or other democratic entities/mechanisms; enhancing media literacy or countering disinformation; anticorruption; promoting entrepreneurship or transatlantic-oriented economic policies; or affirming the role of NATO, as well the U.S. and Latviaâ€™s commitment to it. 
Proposals that do not address the theme as outlined in the program objectives will be deemed ineligible. All project activities must take place outside of the United States and its territories. Projects that include activities happening in Latvia will be prioritized. 
Funding type: Grant or Fixed Amount Award  
Decision date: no later than June 30, 2025. 
Project start date: no earlier than September 1, 2025. 
Expected size of individual awards: Between $5,000 to $35,000. 
Program Performance Period: Proposed programs should be completed by May 31, 2026. 
Eligible Applicants:  
The following individuals are eligible to apply:  
Â· Applicants must be alumni of a U.S. government-funded or sponsored exchange program (https://alumni.state.gov/list-exchange-programs) or a U.S. government-sponsored exchange program (https://j1visa.state.gov/).  
Â· Projects teams must include teams of at least two (2) alumni.  
Â· Alumni who are U.S. citizens may not submit proposals, but U.S. citizen alumni may participate as team members in a project (not in a lead position).  
Â· Alumni teams may be comprised of alumni from different exchange programs and different countries.  
Â· Applications must be submitted by exchange alumni (individually or from non-governmental organizations they represent) or alumni associations. For-profit and academic institutions are not eligible to apply in the name of the organization but can serve as partners for implementing project activities.  
Cost Sharing  
Inclusion of cost share is not a requirement of this opportunity, but it is encouraged. Examples include in-kind support (services, labor, supplies/equipment, or volunteers), a business contributing food, an organization offering a venue at a discount or free of charge, an NGO sponsoring an activity, an expert donating time to facilitate a seminar, etc. 
Other Eligibility Requirements  
If the grant will be processed with an individual, that individual is not required to have a UEI (Unique Entity ID) number or be registered in SAM.gov. However, should the grant be processed with an organization that is a partner in the project, that organization must have a UEI, as well as a valid registration on www.SAM.gov. Organizations must have a commitment to equal opportunity employment practices and to non-discrimination practices with regard to beneficiaries, without regard to race, religion, ethnicity, gender, sexual orientation, or political affiliation. 
Applicants are only allowed to submit one proposal.  
Grants may not be used for partisan political activity. However, public education, get-out-the-vote, election monitoring and other non-partisan election activities may be supported. 
Grants may be used to promote non-discrimination and tolerance for disadvantaged minorities, but should not be used to promote the particular agenda of a specific group, practice, or lifestyle over any other. Close attention should be given to applications addressing tolerance and human rights (focusing on race, ethnicity, gender, religion, or sexual orientation), volunteerism, and trafficking in persons. Before awarding any grant related to these issues, Embassy staff must brief grantees on the distinction between support for human rights and our inability to advocate for a specific lifestyle or the views of any specific organization. 
Grants cannot support any goals of religious nature. 
Grants cannot support the creation of any media content or support journalist salaries. 
Proposed projects should target primarily Latvian audiences. 
 APPLICATION AND SUBMISSION INFORMATION  
1.Address to Request Application Package  
Application and budget templates are available here: https://lv.usembassy.gov/education-culture/alumni/ 
2.Content and Form of Application Submission  
Applications and budgets must be submitted using the official AEIF 2025 application and budget forms.  
Please follow all instructions below carefully. Proposals that do not meet the requirements of this announcement or fail to comply with the stated requirements will be ineligible.  
Please ensure:  
Â· The proposal clearly addresses the goals and objectives of this funding opportunity;  
Â· The proposal addresses all questions in the official AEIF 2025 application form;  
Â· All documents are in English;  
Â· The budget is in U.S. dollars and is submitted using the designated AEIF 2025 budget form;  
Â· All pages are numbered.  
 Mandatory application forms: 
1) 2025 Alumni Engagement Innovation Fund Proposal Form: 
Â§ Summary Page: Cover sheet stating the applicant name and organization, proposal date, program title, program period proposed start and end date, and brief purpose of the program. 
Â§ Proposal: The proposal should contain sufficient information that anyone not familiar with it would understand exactly what the applicant wants to do. You may use your own proposal format, but it must include all the items below. 
Â· Proposal Summary: Short narrative that outlines the proposed program, including program objectives and anticipated impact. 
Â· Introduction to the Organization or Individual applying: A description of past and present operations, showing ability to carry out the program, including information on all previous grants from the U.S. Embassy and/or U.S. government agencies. 
Â· Problem Statement: Clear, concise and well-supported statement of the problem to be addressed and why the proposed program is needed. 
Â· Program Goals and Objectives: The â€œgoalsâ€ describe what the program is intended to achieve. The â€œobjectivesâ€ refer to the intermediate accomplishments on the way to the goals. These should be achievable and measurable. 
Â· Program Activities: Describe the program activities and how they will help achieve the objectives. 
Â· Program Methods and Design: A description of how the program is expected to work to solve the stated problem and achieve the goal. Include a logic model as appropriate. 
Â· Proposed Program Schedule and Timeline: The proposed timeline for the program activities. Include the dates, times, and locations of planned activities and events. 
Â· Key Personnel: Names, titles, roles and experience/qualifications of key personnel involved in the program. What proportion of their time will be used in support of this program? 
Â· Program Partners: List the names and type of involvement of key partner organizations and sub-awardees. 
Â· Program Monitoring and Evaluation Plan: This is an important part of successful grants. Throughout the time-frame of the grant, how will the activities be monitored to ensure they are happening in a timely manner, and how will the program be evaluated to make sure it is meeting the goals of the grant? 
Â· Future Funding or Sustainability Applicantâ€™s plan for continuing the program beyond the grant period, or the availability of other resources, if applicable. 
2) Budget Justification Narrative: Applicants must submit a detailed budget and budget narrative justification utilizing the template provided.Budget narrative is mandatory. Budget without narratives will not be reviewed. Line-item expenditures should be listed in the greatest possible detail. Budgets shall be submitted in U.S. dollars and final grant agreements will be conducted in U.S. dollars.  
Â§ Project management costs should not be more than 30% of the total requested budget amount. Project management costs include fees for speakers, trainers, and consultants; 
Â§ Lodging costs should be for program activities during the project and not for long term rent for project team members; 
Â§ Travel costs need to take into account the most economic means of travel; 
Â§ AEIF 2025 can support the following budget items:  
Â·Intra-regional or in-country transportation; 
Â·Rental of venues for project activities; 
Â·PPE and sanitizing equipment; 
Â·Meals/refreshments integral to the project (i.e., working lunch for a meeting); 
Â·Reasonable costs to support virtual programming (i.e., subscription to Zoom, WebEx, camera/microphones for virtual meetings, mailing services, etc.); 
Â·Trainer or speaker honoraria expenses (i.e., maximum $250/day fee, travel, lodging, per diem); 
Â·Reasonable equipment and materials; 
Â·Communications and publicity materials, such as manuals or project advertisements. 
Â§ Budget Restrictions: AEIF 2024 does not support the following activities or costs, and the selection committee will deem applications involving any of these activities or costs ineligible: Any airfare to/from the United States and its territories; Activities that take place in the United States and its territories; Staff salaries, office space, and overhead/operational expenses; Large items of durable equipment or construction programs; Alcohol, excessive meals, refreshments, or entertainment; Academic or scientific research; Charitable or development activities; Provision of direct social services to a population; Individual scholarships; Social travel/visits; Gifts or prizes; Duplication of existing programs; Institutional development of an organization; Venture capital, for-profit endeavors, or charging a fee for participation in project; Support for specific religious activities; Fund-raising campaigns; Support or opposition of partisan political activity or lobbying for specific legislation  
3) Attachments: 
Â§ 1-page CV or resume of key personnel who are proposed for the program 
Â§ Letters of support from program partners describing the roles and responsibilities of each partner (optional) 
Â§ If your organization has a Negotiated Indirect Cost Rate Agreement (NICRA) and includes NICRA charges in the budget, your latest NICRA should be included as a PDF file. 
Â§ Official permission letters, if required for program activities 
Â§ Additional support materials like workshop agendas, curricula, or previous pilot projects connected to your submission (optional, but strongly recommended). 
Please note: When submitting the proposal form and budget form, please use the following naming convention for the titles of the documents: AEIF24_Country_Project Title. 
4) Example Proposal Form: AEIF25_Latvia_Inclusive_STEAM_Curricula.docx 
5) Example Budget Form: AEIF25_Latvia_Inclusive_STEAM_Curricula_Budget.xlxs 
Unique Entity Identifier and System for Award Management (SAM.gov) 
Required Registrations: 
All organizations, whether based in the United States or in another country, must have a Unique Entity Identifier (UEI) and an active registration with the SAM.gov to be eligible for applying for this funding opportunity. A UEI is one of the data elements mandated by Public Law 109-282, the Federal Funding Accountability and Transparency Act (FFATA), for all Federal awards. 
Note: As of April 2022, a DUNS number is no longer required for federal assistance applications. 
The 2 CFR 200 requires that sub-grantees obtain a UEI number. Please note the UEI for sub-grantees is not required at the time of application but will be required before an award is processed and/or directed to a sub-grantee. 
Note: The process of obtaining or renewing a SAM.gov registration may take anywhere from 4-8 weeks. Please begin your registration as early as possible. 
Â· Organizations based in the United States or that pay employees within the United States will need an Employer Identification Number (EIN) from the Internal Revenue Service (IRS) and a UEI number prior to registering in SAM.gov. 
Â· Organizations based outside of the United States and that do not pay employees within the United States do not need an EIN from the IRS but do need a UEI number prior to registering in SAM.gov.</t>
  </si>
  <si>
    <t>Emerging Mathematics in Biology</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</si>
  <si>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</si>
  <si>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 xml:space="preserve">The Emerging Mathematics in Biology (eMB) program seeks to stimulate the development of innovative mathematical theories, techniques, and approaches to investigate challenging questions of great interest to biologists and public health policymakers. It supportstruly integrative research projects in mathematical biology that address challenging and significant biological questions through novel applications of traditional, but nontrivial, mathematical tools and methods or the development of new mathematical theories particularly from foundational mathematics, including the mathematical foundation of Artificial Intelligence/Deep Learning/Machine Learning (AI/DL/ML) enabling explainable AI or mechanistic insight. The program emphasizes the uses of mathematical methodologies to advance our understanding of complex, dynamic, and heterogenous biological systems at all scales (molecular, cellular, organismal, population, ecosystems, evolutionary, etc.).
</t>
  </si>
  <si>
    <t>Water Conservation Field Services Program for Fiscal Year 2025</t>
  </si>
  <si>
    <t>Others (see text field entitled "Additional Information on Eligibility" for clarification) Applicants eligible to receive an award under P.L. 111-11, Sec. 9502 to fund activities include:  States  Indian tribes  Irrigation districts  Water districts  Other organizations with water or power delivery authorityIn addition, applicants must be located within the LCB or the State of Hawaii, American Samoa, Guam, and the Northern Mariana Islands. Please see the location map in Section A.1 of this NOFO.Those not eligible to receive an award include, but are not limited to, the following entities:  Federal governmental entities  Institutions of higher education  Individuals  501(c)(6) organizations</t>
  </si>
  <si>
    <t>The Department of the Interiorâ€™s (DOIâ€™s) WaterSMART (Sustain and Manage Americaâ€™s Resources for Tomorrow) Program provides a framework for Federal leadership and assistance to stretch and secure water supplies for future generations in support of DOI priorities. Through WaterSMART, the Bureau of Reclamation (Reclamation) leverages Federal and non-Federal funding to work cooperatively with states, tribes, and local entities as they plan for and implement actions to increase water supply reliability through investments in existing infrastructure and attention to local water conflicts.Drought conditions across the Western United States (U.S.) impact a wide range of communities and sectors, including agriculture, cities, tribes, the environment, recreation, hydropower producers, and others. Reclamation established the Water Conservation FieldServices Program (WCFSP) in 1996 to encourage beneficiaries of Federal water projects to conserve water, and to assist agricultural and urban water districts in preparing and implementing water conservation plans in accordance with the Reclamation Reform Act (RRA) of 1982. Through the WCFSP, Reclamation makes cost-shared financial assistance available for developing water conservation and or water management plans as appropriate, identifying water management improvements through System Optimization Reviews (SORs), designing water management improvements, and improving the understanding of water conservation techniques through demonstration activities.The WCFSP provides support for priorities identified in Presidential Executive Order (E.O.) 14008: Tackling the Climate Crisis at Home and Abroad and aligns with other priorities, such as those identified in E.O. 13985: Advancing Racial Equity and Support for Underserved Communities Through the Federal Government. WaterSMART also supports Reclamationâ€™s priorities to increase water reliability and resilience, support racial and economic equity, modernize infrastructure, and enhance water conservation, ecosystem, and climate resilience. Through this NOFO, Reclamationâ€™s Lower Colorado Basin Region (LCB) is requesting proposals to fund activities in support of the WCFSP within the LCB (see map on p.3), and within the State of Hawaii, American Samoa, Guam, and the Northern Mariana Islands.</t>
  </si>
  <si>
    <t>Engaging Loved ones in Recovery Processes to Enhance Recovery Capital and Outcomes (R61/R33 Clinical Trial Optional)</t>
  </si>
  <si>
    <t>Outside of research with adolescents, there is a relative dearth of research on how to effectively leverage and support relationships between people with addiction and their loved ones to improve treatment navigation, engagement and recovery outcomes.  As a result, this NOFOs purpose is to address this crucial research gap by supporting studies to improve engagement of support persons. This initiative would support pragmatic trials focused on scalable, sustainable adaptations to existing EBPs and service delivery frameworks that emphasize enhancing engagement of loved ones and support persons, thereby strengthening recovery capital and increasing the likelihood of stable recovery. Approaches of interest include testing adaptations or new interventions that: 1) reduce stigma toward addiction and MOUD among support persons; 2) provide assistance to support persons in navigating care options for their loved one; 3) formally engage support persons in services; 4) leverage support persons as lay interventionists; and 5) enhance well-being and coping skills among support persons.</t>
  </si>
  <si>
    <t>Office of Special Education and Rehabilitative Services (OSERS): Rehabilitation Services Administration (RSA: American Indian Vocational Rehabilitation Services (AIVRS), Assistance Listing Number (ALN): 84.250R</t>
  </si>
  <si>
    <t>Native American tribal organizations (other than Federally recognized tribal governments) 1. Eligible Applicants: Applications may be made only by Indian Tribes (and consortia of those Indian Tribes) located on Federal and State reservations. The definition of ``Indian Tribe'' in section 7(19)(B) of the Rehabilitation Act is ``any Federal or State Indian tribe, band, rancheria, pueblo, colony, or community, including any Alaskan native village or regional village corporation (as defined in _x000D_
or established pursuant to the Alaska Native Claims Settlement Act) and a Tribal organization (as defined in section 4(l) of the Indian Self-Determination and Education Assistance Act (25 U.S.C. 450b(l)).''_x000D_
    ``Reservation'' is defined in 34 CFR 371.6 as ``a Federal or State Indian reservation, public domain Indian allotment, former Indian reservation in Oklahoma, land held by incorporated Native groups, regional corporations and village corporations under the provisions of the Alaska Native Claims Settlement Act; or a defined area of land _x000D_
recognized by a State or the Federal Government where there is a concentration of tribal members and on which the tribal government is providing structured activities and services.''_x000D_
_x000D_
    Under 34 CFR 371.2, the applicant for an AIVRS grant must be--_x000D_
    (1) The governing body of an Indian Tribe, either on behalf of the Indian Tribe or on behalf of a consortium of Indian Tribes; or_x000D_
    (2) A Tribal organization that is a separate legal organization from an Indian Tribe._x000D_
    To receive an AIVRS grant, a Tribal organization that is not a governing body of an Indian Tribe must--_x000D_
    (1) Have as one of its functions the vocational rehabilitation of American Indians with disabilities; and_x000D_
    (2) Have the approval of the Tribe to be served by such _x000D_
organization._x000D_
    If a grant is made to the governing body of an Indian Tribe, either on its own behalf or on behalf of a consortium, or to a Tribal organization to perform services benefiting more than one Indian Tribe, the approval of each such Indian Tribe is a prerequisite to the making of such a grant.</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</si>
  <si>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this program is to provide grants to Indian Tribes to provide vocational rehabilitation (VR)services, including culturally appropriate services, to eligible American Indians with disabilities who reside on or near Federal or State reservations, consistent with such eligible individual's strengths, resources, priorities, concerns, abilities, capabilities, interests, and informed choice, so that such individuals may prepare for, and engage in, high-quality employment that will increase opportunities for economic self-sufficiency. 
Assistance Listing Number (ALN) 84.250R.</t>
  </si>
  <si>
    <t>Epilepsy Incidence Among Children in the United States</t>
  </si>
  <si>
    <t>For profit organizations other than small businesses N/A</t>
  </si>
  <si>
    <t>Few population-based epilepsy incidence studies among children in the United States exist, and these studies are limited to specific geographic areas with small sample sizes. Studies which used nationwide administrative and claims data to estimate epilepsy incidence among children were conducted more than a decade ago and failed to provide national generalizability due to their limited data sources. This NOFO will contribute to a comprehensive understanding of epilepsy incidence (any type), incident-related risk factors, and incidence disparities among the general U.S. pediatric population or subpopulations. The knowledge obtained from this study will assist health officials shape public health policies by allocating resources, planning for healthcare services, and implementing preventive measures. The objectives of the NOFO are to: (1) Estimate epilepsy incidence among U.S. children 0 - 17 years of age based upon a study with comprehensive nationwide dataset(s), or a population-based study at a specific level(s) (e.g., national, regional, jurisdictional); (2) Identify factors that contribute to the risk of developing epilepsy, and examine the association between these risk factors and incidence; and (3) Examine potential disparities in incidence rates of epilepsy stratified by demographic, geographical, the social determinants of health (SDOH), or other characteristics. The target population is for U.S. children aged 0 - 17 years, and for the study of certain epilepsies, some age ranges within 0 - 17 years are acceptable. Additionally, this study should include a nationally representative sample of age, sex, race/ethnicity, and social strata, and include subgroups which allow an examination of risk factors and SDOH. The applicant is expected to: (1) Conduct a retrospective study using public/commercial administrative and/or claims data, electronic health records, or survey data; (2) Ensure dataset(s) have sufficient sample sizes relative to risk factors, allowing incidence rates to be stratified by these factors. If public/commercial claims data or survey data are used, it should include child populations from all states and Washington DC. Examples of claims data are Marketscan and Medicaid. If EHR data are used, adequate details/justification must be included; (3) Identify risk factors based on the literature. Risk factors may be children-specific (e.g., prenatal, perinatal, or neonatal factors), children non-specific (e.g., comorbidities, demographic, SDOH factors), and/or other factors; and (4) Propose a research team with expertise in epidemiological methods, analytical skills, and pediatric epilepsy diagnosis and treatment.</t>
  </si>
  <si>
    <t>ROSES 2024: F.5 Future Investigators in NASA Earth and Space Science and Technology</t>
  </si>
  <si>
    <t xml:space="preserve">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</si>
  <si>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Designing Materials to Revolutionize and Engineer our Future</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</si>
  <si>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By the submission deadline, any PI, co-PI, or other Senior/Key project personnel must hold either:
 ul type= 
 A tenured or tenure-track position, or 
 A primary, full-time, paid appointment in a research or teaching position with exceptions granted for family or medical leave, as determined by the submitting institution. 
An investigator who is a PI or co-PI of a DMREF award based on a proposal submitted in response to the previous DMREF Solicitation ( a href= NSF 23-530 ) cannot be a PI or co-PI for this DMREF solicitation, but may serve as Senior/Key Personnel. Proposals violating this limitation will be returned without review.</t>
  </si>
  <si>
    <t>DMREF seeks to foster the design, discovery, and development of materials to accelerate their path to deployment by harnessing the power of data and computational tools in concert with experiment and theory.DMREF emphasizes a deep integration of experiments, computation, and theory; the use of accessible digital data across the materials development continuum; and strengthening connections among theorists, computational scientists, data scientists, mathematicians, statisticians, and experimentalists as well as those from academia, industry, and government.DMREF is committed to the education and training of a next-generation materials research and development (R D) workforce; well-equipped for successful careers as educators and innovators; and able to take full advantage of the materials development continuum and innovation infrastructures thatNSF is creating through partnership with other federal and international agencies.
DMREF is the principal NSF program responsive to the National Science and Technology Council s (NSTC s) Office of Science and Technology Policy (OSTP) Subcommittee on the Materials Genome Initiative (MGI). Over its inaugural decade, the MGI has driven a transformational paradigm shift in the philosophy of how materials research is performed.DMREF is supportive of the 2021 MGI Strategic Plan and its three primary goals, i.e., unifying the materials innovation infrastructure; harnessing the power of materials data; and educating, training, and connecting a world-class materials R D workforce.
DMREF will accordingly support activities that significantly accelerate the materials discovery-to-use timeline by building the fundamental knowledge base needed to advance the design, development, or manufacturability of materials with desirable properties or functionality. The 2021 MGI Strategic Plan re-envisioned the linear Materials Development Continuum described in the original Strategic Plan to promote integration and iteration of knowledge across the entire path to deployment. DMREF will undertake this challenge through building a vibrant research community, forming interdisciplinary teams to conduct research in a   fashion, leveraging data science and machine learning, providing ready access to materials data, and educating the future MGI workforce.
This solicitation is open to all materials research topics and is responsive to the recent National Academies 2023 Report  NSF Efforts to Achieve the Nation s Vision for the Materials Genome Initiative . DMREF reflects the Administration s priorities for strengthening American leadership in technologies and industries of the future that are critical to the nation s health, economic prosperity, national security, and scientific enterprise.
DMREF encourages input and participation from the full spectrum of diverse talent that society has to offer which includes underrepresented and underserved communities. Aligning with Goal 3 of the 2021 MGI Strategic Plan, DMREF promotes education, training, and workforce development that can communicate across all components of the materials development continuum.
Proposals submitted to this solicitation must be directed by a team of at least two Senior/Key Personnel with complementary expertise. The proposed research must involve a collaborative and iterative   process wherein theory guides computational simulation, computational simulation guides experiments, and experimental observation further guides theory.
This solicitation represents a crosscutting activity involving the Directorates for Mathematical and Physical Sciences (MPS), Engineering (ENG), Computer   Information Science   Engineering (CISE), and Technology, Innovation and Partnerships (TIP). Additionally, partnership with other federal agencies may lead to an interagency effort. Submitted proposals may be shared with one or more federal partners in the solicitation: Air Force Research Laboratory (AFRL), the Department of Energy s (DOE) Office of Energy Efficiency   Renewable Energy (EERE), Office of Naval Research (ONR), National Institute of Standards and Technology (NIST), the US Army Combat Capabilities Development Command (DEVCOM) Ground Vehicle Systems Center (GVSC), and the DEVCOM Army Research Laboratory (ARL). Opportunities are also present for collaboration with the United States-Israel Binational Science Foundation (BSF), India s Department of Science and Technology (DST), the Natural Sciences and Engineering Research Council of Canada (NSERC), and Germany s Deutsche Forschungsgemeinschaft (DFG).
Awards are expected to range from $1,500,000   $2,000,000 over a duration of four years.
Subject to the availability of funds, it is anticipated that the DMREF program will continue with competitions biennially in odd-numbered years.</t>
  </si>
  <si>
    <t>Alumni Outreach Program FY2025</t>
  </si>
  <si>
    <t>Others (see text field entitled "Additional Information on Eligibility" for clarification) Not-for-profit organizations, including think tanks and civil society/non-governmental organizations from North Macedonia only.  Project teams must include at least two (2) alumni of a U.S. government program.  Alumni who are U.S. citizens may participate as team members in a project.  Alumni teams may be comprised of alumni from different exchange programs.</t>
  </si>
  <si>
    <t xml:space="preserve">The Public Diplomacy Section (PDS) administers an Alumni Outreach Program aimed at expanding outreach to alumni of U.S. government-funded exchange programs. The program provides small grants to alumni associations to support visionary initiatives with measurable goals that benefit local communities. Priority is given to projects that encourage activism in community service, democratic advancement, and economic reform. These grants are one-time opportunities to help alumni launch sustainable projects that build on their exchange program experiences. Proposals must demonstrate how activities develop and share skills gained in the U.S., incorporate themes from the alumniâ€™s program, and benefit citizens of North Macedonia. </t>
  </si>
  <si>
    <t>Environmental System Science (ESS)</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</si>
  <si>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Federally affiliated entities must adhere to the eligibility standards below:_x000D_
_x000D_
1. DOE/NNSA National Laboratories_x000D_
_x000D_
DOE/NNSA National Laboratories are neither eligible to submit applications under this NOFO nor to be proposed as subrecipients under another organization s application._x000D_
_x000D_
No funds provided under this NOFO may be used to support any independent research activity at a DOE/NNSA National Laboratory. This prohibition extends to all personnel affiliated with a DOE/NNSA National Laboratory, regardless of their title or position. This prohibition extends to all arrangements, including those characterized as subawards, consortia, contracted work, work-for-others, or strategic partnerships. The only exception is for fee-for-service work provided on identical terms to any customer in accordance with a published schedule of charges._x000D_
_x000D_
2. Non-DOE/NNSA FFRDCs_x000D_
_x000D_
Non-DOE/NNSA FFRDCs are eligible to submit applications under this NOFO and may be proposed as subrecipients under another organization s application. If recommended for funding as a lead applicant, funding will be provided through an interagency agreement to the FFRDC s sponsoring Federal Agency.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eligible to submit applications under this NOFO and may be proposed as subrecipients under another organization s application. If recommended for funding as a lead applicant, funding will be provided through an interagency agreement. If recommended for funding as a proposed subrecipient, the value of the proposed subaward may be removed from the prime applicant s award and may be provided through an interagency agreement. Additional instructions for providing statutory authorization are found in Section IX of this NOFO.</t>
  </si>
  <si>
    <t>The DOE SC program in Biological and Environmental Research (BER) hereby announces its interest in receiving applications for research in Environmental System Science (ESS). The goal of the ESS program in BER is to advance an integrated, robust, and scale-aware predictive understanding of terrestrial systems and their interdependent microbial, biogeochemical, ecological, hydrological, and physical processes. The ESS program scope advances foundational process knowledge with an emphasis on understudied ecosystems. This NOFO will consider applications that focus on measurements, experiments, field data, modeling, and synthesis to provide improved understanding and representation of ecosystems and watersheds in ways that advance the sophistication and capabilities of models that span from individual processes to Earth-system scales. This NOFO will encompass three Science Research Areas: 1) plant-soil-microbe interactions and their influence on belowground biogeochemical processes; 2) synthesis studies using existing data that address testing of ESS-relevant hypotheses and development of transferable insights into knowledge gaps for U.S. southeast coastal systems; and 3) synthesis studies on contributions and vulnerabilities of Earth system processes in marginal and degraded lands.
The BER ESS program goal is to advance an integrated, robust, and scale-aware predictive understanding of terrestrial systems and their interdependent microbial, biogeochemical, ecological, hydrological, and physical processes. To support this goal, the program uses a systems approach to develop an integrative framework to elucidate the complex processes and controls on the structure, function, feedbacks, and dynamics of terrestrial and watershed systems, that span from molecular to global scales and extend from the bedrock through the soil, rhizosphere, and vegetation to the atmosphere. The ESS program scope advances foundational process knowledge with an emphasis on understudied ecosystems. Supported research emphasizes ecological and hydro-biogeochemical linkages among system components and characterization of processes across interfaces (e.g., terrestrial-aquatic, coastal, urban) to address key knowledge gaps and uncertainties across a range of spatial and temporal scales. Incorporation of scientific findings into process and system models is an important aspect of the ESS strategy, both to improve predictive understanding as well as to enable the identification of new research questions and directions.</t>
  </si>
  <si>
    <t>Quantum Sensing of Neutrinos (QuSeN)</t>
  </si>
  <si>
    <t>DOD-DARPA-DSO</t>
  </si>
  <si>
    <t>DARPA - Defense Sciences Office</t>
  </si>
  <si>
    <t>Others (see text field entitled "Additional Information on Eligibility" for clarification) All responsible sources capable of satisfying the Government's needs may submit a proposal that shall be considered by DARPA.  See the Eligibility Information section of the BAA for more information.</t>
  </si>
  <si>
    <t>The Defense Advanced Research Projects Agency (DARPA) is soliciting proposals for new, high sensitivity neutrino detectors. Proposed research should investigate innovative approaches that enable revolutionary advances in neutrino detection science, devices and systems.  
The Quantum Sensing of Neutrinos (QuSeN) program aims to develop neutrino detectors with greatly increased performance for detection of neutrinos from sources such as nuclear reactors and nuclear materials. Detectors will make use of neutrino â€“ matter interactions that produce low energy nuclear recoils and athermal phonons in absorber materials with high neutron numbers at the (multi)-kilogram scale.  Specifically excluded is research that primarily results in evolutionary improvements to the existing state of practice.</t>
  </si>
  <si>
    <t>Alumni Engagement Innovation Fund Program FY 2025</t>
  </si>
  <si>
    <t>Others (see text field entitled "Additional Information on Eligibility" for clarification) Non-for-profit organizations meeting the following criteria are eligible to apply:  Organization is from North Macedonia.  Applications must be submitted by alumni associations of USG exchange alumni or by a team of at least two exchange alumni (individuals) through a not-for-profit, non-governmental organization, think tank, or academic institution that will serve as partner for implementing project activities.   Applicant key staff/ project teams must be alumni of a U.S. government-funded or sponsored exchange program (https://alumni.state.gov/list-exchange-programs) or a U.S. government-sponsored exchange program (https://j1visa.state.gov/).   Projects teams must include at least two (2) alumni.   Alumni who are U.S. citizens may not participate as primary applicants but may participate as team members in a project.  Alumni teams may be comprised of alumni from different exchange programs and different countries.</t>
  </si>
  <si>
    <t>Program Objectives:  
AEIF provides alumni of U.S. government-sponsored and facilitated exchange programs with funding to expand on skills gained during their exchange experience to design and implement innovative solutions to global challenges facing their community. Since its inception in 2011, AEIF has funded nearly 500 alumni-led projects around the world through a competitive global competition. This year, the U.S. Embassy will accept public service projects proposed by local USG Alumni organizations and managed by teams of at least two (2) alumni which directly support the Embassyâ€™s goals and foreign policy objectives, promote shared interests, and benefit local communities. This year, AEIF 2025 will support United Statesâ€™ commitment to â€œDeepen North Macedoniaâ€™s democracy and implementation of reforms to improve its reliability and capability as a U.S. partnerâ€. Proposals are expected to address a specific theme such as: 
â€¢ Reinforcing democratic values; 
â€¢ Promoting rule of law and anti-corruption; 
â€¢ Increasing social cohesion among ethnic and political groups and regional partners;  
â€¢ Empowering youth, women, and other marginalized groups; 
â€¢ Supporting North Macedoniaâ€™s transition to diversified, sustainable, and renewable sources of energy in order to accelerate regional energy independence; 
â€¢ Countering disinformation;  
â€¢ Fostering civic responsibility, public service, or community-driven change, especially in underserved communities;  
â€¢ Promoting cross-cultural understanding, celebrating heritage, culture, and/or arts as a catalyst for progress; and 
â€¢ Fostering ties between North Macedonia and U.S.A. 
Proposals must address at minimum one of the themes listed here. Proposals that do not address the theme as outlined in the program objectives will be deemed ineligible. All project activities must take place outside of the United States and its territories. 
Participants and Audiences 
Applicants should clearly define specific, realistic, target audience(s). Broad target audiences such as the general public, youth, everyone, etc., should be avoided. 
Audiences who are considered a priority for grants funded under this NOFO are: 
 Youth and young adult leaders between 13 and 30 years; 
 Community leaders and local officials; 
 Teachers and academic professionals; and 
 Underserved, under-resourced, and rural communities. 
Please note that proposals addressing audiences not listed above can still be eligible, but such proposals must clearly indicate why addressing the proposed audience is especially important to achieving the goals stated in this NOFO.</t>
  </si>
  <si>
    <t>Combating Antibiotic-Resistant Bacteria Interdisciplinary Research Units (CARBIRUs) (P01 Clinical Trial Not Allowed)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</si>
  <si>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</si>
  <si>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(NOFO) is to support multidisciplinary research programs focused on discovery to early development research to inform new approaches to prevent, diagnose, and treat antibiotic-resistant bacterial infections.</t>
  </si>
  <si>
    <t>Atmospheric System Research (ASR)</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</si>
  <si>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1995._x000D_
_x000D_
Non-domestic institutions may be proposed as team members in a multi-institutional team and may be proposed as subrecipients under another organization s application._x000D_
_x000D_
Federally affiliated entities must adhere to the eligibility standards below:_x000D_
_x000D_
1. DOE/NNSA National Laboratories_x000D_
_x000D_
DOE/NNSA National Laboratories are neither eligible to submit applications under this NOFO nor to be proposed as subrecipients under another organization s application._x000D_
_x000D_
2. Non-DOE/NNSA FFRDCs_x000D_
_x000D_
Non-DOE/NNSA FFRDCs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NOFO._x000D_
_x000D_
3. Other Federal Agencies_x000D_
_x000D_
Other Federal Agencies are eligible to submit applications under this NOFO but are not eligible to be proposed as subrecipients under another organization s application. Instead, they must submit their own application as a team member in a multi-institutional team. If recommended for funding, either as the sole applicant or in a multi-institutional team, funding will be provided through an interagency agreement. Additional instructions for providing statutory authorization are found in Section IX of this NOFO.</t>
  </si>
  <si>
    <t>The DOE SC program in Biological and Environmental Research (BER) hereby announces its interest in receiving applications for Atmospheric System Research (ASR) within BERâ€™s Earth and Environmental Systems Sciences Division (EESSD). ASR supports research on key cloud, aerosol, precipitation, and radiative transfer processes that affect the Earthâ€™s radiative balance and hydrological cycle, especially processes that limit the predictive ability of regional and global models. This NOFO solicits research grant applications for observational, data analysis, and/or modeling studies that use BER-supported Atmospheric Radiation Measurement (ARM) user facility observations to improve understanding and model representation of: 1) Atmospheric processes from ARMâ€™s Coast-Urban-Rural Atmospheric Gradient Experiment (CoURAGE) and 2) High latitude and Southern Ocean atmospheric processes using ARM observations. All research supported by awards under this NOFO is intended to benefit the public through increasing our understanding of the Earth system.</t>
  </si>
  <si>
    <t>Geosciences Open Science Ecosystem</t>
  </si>
  <si>
    <t xml:space="preserve">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Other Federal Agencies and Federally Funded Research and Development Centers (FFRDCs): Prospective proposers from Other Federal Agencies and Federally Funded Research and Development Centers (FFRDCs), including NSF sponsored FFRDCs, must follow the guidance in PAPPG Chapter I.E.2(d) regarding limitations on eligibility. a id=  name=  href= br / </t>
  </si>
  <si>
    <t>The Geosciences Open Science Ecosystem (GEO OSE) program seeks to realize the benefits of open science practices toward advancing research and education in the geosciences. To achieve this vision, the GEO OSE program encourages efforts to foster adoption of open, inclusive, and equitable scientific practices across geoscience domains. The program supports development of innovative open science approaches that advance geosciences research and education through leveraging expanding information resources and computing capabilities. The program also supports initiatives to strengthen the capacity of current and future geoscientists to access, utilize, and collaborate within the growing ecosystem of open science resources.
GEO OSE projects may pursue a variety of activities to advance open science practices within the geosciences. This includes community/cohort building around defining a shared vision for open science and adopting open science practices within and across geoscience domains. It also includes development and implementation of open science approaches that accelerate geoscience research discovery via seamless workflows connecting data, software, physical collections, and computing. In addition, GEO OSE supports educational activities that instill open science practices and broaden adoption of cyberinfrastructure resources to reduce barriers to geoscience research and education.</t>
  </si>
  <si>
    <t>Human-Environment and Geographical Sciences Program</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</si>
  <si>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</si>
  <si>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 xml:space="preserve">The objective of the Human-Environment and Geographical Sciences Program is to support basic scientific research about the nature, causes, consequences, or evolution of the spatial dimensions of human behaviors, activities, and dynamics as well as their interactions with environmental and social processes across a range of scales. Contemporary geographical research encompasses diverse research traditions and methodologies. Recognizing the breadth of the field s contributions to science, the HEGS Program welcomes proposals for empirically grounded, theoretically engaged, methodologically rigorous, and generalizable research that advances geographical and geospatial sciences.
Because the National Science Foundation's mandate is to support fundamental scientific research, the HEGS program cannot fund research that takes as its primary goal humanistic interpretations or findings that are not generalizable or reproducible. HEGS welcomes proposals that utilize quantitative, qualitative, or mixed methods in novel ways. However, a proposal that applies geographical or geospatial methods to a geographic problem without proposing how that problem provides an opportunity to make a theory-testing or theory-expanding contribution to geographical science, broadly defined, will be returned without review. HEGS supported projects are expected to yield results that will enhance, expand, and transform fundamental geographical theory and geospatial methods and that will have broader impacts that benefit society.
Generally, successful HEGS proposals should describe clear and detailed plans for data collection (including sample selection if appropriate), justification for proposed methods, plans for data analysis, attention to confounding variables, and efforts to address biases (e.g., confirmatory biases, selection biases, etc.). Competitive HEGS proposals should substantiate the validity of findings and generalizability to broader contexts.
It should be noted that HEGS is situated in the Behavioral and Cognitive Sciences Division of the Social, Behavioral and Economic Sciences Directorate at NSF. Therefore, it is critical that research projects submitted to the HEGS program illustrate how the proposed research questions engage human dimensions that are relevant and important to people and societies.
A proposal that fails to be responsive to these program expectations will be returned without review.
</t>
  </si>
  <si>
    <t>FY 2025 National Infrastructure Investments</t>
  </si>
  <si>
    <t>Others (see text field entitled "Additional Information on Eligibility" for clarification) Additional Information on Eligibility: Eligible Applicants for RAISE Transportation Discretionary Grants are States and the District of Columbia; any territory or possession of the United States; a unit of local government; a public agency or publicly chartered authority established by 1 or more States; a special purpose district or public authority with a transportation function, including a port authority; a Federally recognized Indian Tribe or a consortium of such Indian Tribes; a transit agency; and a multi-State or multijurisdictional group of entities. Multiple States or jurisdictions may submit a joint application and must identify a lead applicant as the primary point of contact. Each project party in a joint application must be an Eligible Applicant. Joint applications must include a description of the roles and responsibilities of each project party and must be signed by each project party.</t>
  </si>
  <si>
    <t>The Infrastructure Investment and Jobs Act of 2021 (â€œBipartisan Infrastructure Law,â€ or â€œBILâ€ ) authorized and appropriated $1.5 billion to be awarded by the Department of Transportation (â€œDOTâ€) for Local and Regional Project Assistance Program Grants under National Infrastructure Investments. This Notice of Funding Opportunity (NOFO) solicits applications for projects funded under the Local and Regional Project Assistance Program, known as the RAISE Grants program. If the FY 2025 Appropriations Act provides additional funding for the RAISE grants program and/or significantly different requirements for National Infrastructure Investment funds, the Department will amend this Notice with guidance on additional requirements.As with previous rounds, funds for the FY 2025 RAISE Transportation program are to be awarded on a competitive basis for projects that will have a significant local or regional impact.The BIL mandates that DOT will award at least five percent of available funds, ($75 million of the $1.5 billion) for the planning, preparation or design of eligible projects.The BIL specifies that not more than 50 percent of funds can be spent on projects located in a rural area with a population equal to or less than 200,000 and not more than 50 percent of funds can be spent on projects located in an urbanized area with a population of more than 200,000. Pursuant to the BIL, no more than 15 percent of the funds made available for RAISE Transportation Discretionary Grants (or $225 million) may be awarded to projects in a single State. Further, pursuant to the BIL, DOT must take measures to ensure an equitable geographic distribution of grant funds, an appropriate balance in addressing the needs of urban and rural areas, and investment in a variety of transportation modes. The BIL requires that FY 2025 RAISE funds are only available for obligation through September 30, 2029. All RAISE funds must be expended by September 30, 2034. As part of the review and selection process described in the Notice of Funding Opportunity, DOT will consider whether a project is ready to proceed with an obligation of grant funds from DOT within the statutory time provided. Under the BIL, no waiver is possible for these deadlines. The BIL allows for up to 20 percent of available funds (or $300 million) to be used by the Department to pay the subsidy and administrative costs for a project receiving credit assistance under the Transportation Infrastructure Finance and Innovation Act of 1998 (â€œTIFIAâ€) program, if it would further the purposes of the RAISE Transportation Discretionary Grant program. Recipients of prior RAISE, BUILD or TIGER Discretionary Grants may apply for funding to support additional phases of a project awarded funds in earlier rounds of this program. However, to be competitive, the applicant should demonstrate the extent to which the previously funded project phase has been able to meet estimated project schedules and budget, as well as the ability to realize the benefits expected for the project. DOT expects that each RAISE Transportation Discretionary Grant will be administered by one of the relevant modal administrations, pursuant to a grant agreement between the RAISE Transportation Discretionary Grant recipient and the relevant modal administration.The BIL specifies that RAISE Transportation Discretionary Grants may not be less than $5 million and not greater than $25 million, except that for projects located in rural areas the minimum RAISE Transportation Discretionary Grant size is $1 million. There is no minimum award size for planning projects.</t>
  </si>
  <si>
    <t>Sacramento River Valley Habitat   Facility Improvements IRA</t>
  </si>
  <si>
    <t>The objective of this NOFO is to execute the collaborative planning efforts for salmon in the ROD that rely on the CVPIA and the SIT supporting implementation of the Fish Resource Area of the CVPIA. The SIT Fundamental Objectives for the CVPIA Fish Resource Area are:Increasing the total salmonid juvenile biomass at Chipps IslandIncreasing the natural adult production of salmonids, andIncreasing spatial diversity of target salmonid speciesReclamation and the Service define these objectives as benefits to Chinook salmon (fall-run, spring-run, and winter-run) and Steelhead trout.</t>
  </si>
  <si>
    <t>Sea Grant Programs Only - FY2025 Establishing and Supporting Partnerships with Minority Serving Institutions (MSIs) in Aquaculture: Regional Collaboratives</t>
  </si>
  <si>
    <t>Others (see text field entitled "Additional Information on Eligibility" for clarification) The following entities are eligible to submit to this opportunity: Sea Grant College Programs, Sea Grant Institutional Programs and Sea Grant Coherent Area Programs. For the remainder of this document, these entities are collectively referred to as  Sea Grant Programs . A Sea Grant Program may submit or be a part of more than one application. Applications involving multiple Sea Grant programs within a given region are strongly preferred.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Programs are required to partner with MSIs as part of each Regional Collaborative. While it is the expectation of this competition that Sea Grant programs will partner with MSIs in their respective regions. It should be noted that partnerships with MSIs need not be solidified by the NOFO deadline. It is envisioned that the Sea Grant program-led Collaboratives will continue to establish relationships/partnerships with MSIs throughout the award._x000D_
_x000D_
It should be noted that, in addition to collaborations currently existing between Sea Grant programs and MSIs, Collaboratives should also strive to engage MSIs that have aquaculture programs or are interested in aquaculture, but not have collaborated with a Sea Grant program. _x000D_
_x000D_
Programs are encouraged to partner with other Sea Grant Programs and/or other entities such as individuals, State and Tribal Agencies/Organizations, NGOs, aquaculture industry members and associations, universities, and colleges, including community colleges._x000D_
_x000D_
To be eligible to apply or receive an award, applicants must complete and maintain three registrations; SAM.gov,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 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regards to age, race, ethnicities, national origins, gender identities, sexual orientations, disabilities, cultures, religions, citizenship types, marital statuses, education levels, job classifications, veteran status types, income, and socioeconomic status.</t>
  </si>
  <si>
    <t xml:space="preserve">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$4,000,000 will be available for research projects and programs to create up to four Regional Collaboratives (one per region) focused on enhancing engagement of Minority Serving Institutions (MSIs) in aquaculture, with up to $1,000,000 available for each. MSIs are defined as institutions of higher education that serve minority populations. For a list of institutions that are considered MSIs, please refer to the following link provided by NASA's MSI Exchange.  
The four regions in which Collaboratives are sought to be established (including states and territories) are: 
â€¢ West Coast/Alaska/Pacific (CA, OR, WA, AK, HI, GU, and other Pacific territories) 
â€¢ Southeast/GOM/Caribbean (TX, LA, MS, AL, FL, PR, US Virgin Islands, GA, SC, NC) 
â€¢ Northeast/mid-Atlantic (VA, MD, DE, NJ, NY, CT, RI, MA, NH, ME) 
â€¢ Great Lakes (NY, VT, PA, OH, IN, IL, MI, WI, MN) 
Successful proposals will address topical needs (described below) and integrate research and extension. Proposals are sought that will support collaborative, multi-SG Program efforts to enhance engagement and collaboration of Sea Grant programs and Minority Serving Institutions within each region in direct support of aquaculture activities of MSIs. While a regional approach is the required mechanism for achieving these goals, it is expected that the Regional Collaboratives will interact with one another to support shared National level interests. Proposals will preferably include participation and involvement of Sea Grant extension personnel and aquaculture community stakeholders. These investments are consistent with Sea Grantâ€™s focus area of Sustainable Fisheries and Aquaculture (SFA) and the Sea Grant Networkâ€™s 10-year Aquaculture Vision, both which support NOAA and Department of Commerce aquaculture goals.  
The following entities are eligible to submit to this opportunity: Sea Grant College Programs, Sea Grant Institutional Programs and Sea Grant Coherent Area Programs. For the remainder of this document, these entities are collectively referred to as â€œSea Grant Programsâ€. A Sea Grant Program may submit or be a part of more than one application. Applications involving multiple Sea Grant programs within a given region are strongly preferred. Programs are to partner with MSIs as part of each Regional Collaborative. While it is the expectation of this competition that Sea Grant programs will partner with MSIs in their respective regions, it should be noted that all partnerships with MSIs need not be solidified by the NOFO deadline. It is envisioned that the Sea Grant program-led Collaboratives will continue to establish relationships/partnerships with MSIs throughout the award. 
It should be noted that, in addition to collaborations currently existing between Sea Grant programs and MSIs, Collaboratives should also strive to engage MSIs that have aquaculture programs or are interested in aquaculture, but have not collaborated with a Sea Grant program.  
Programs are encouraged to partner with other Sea Grant Programs as well as entities such as individuals, State and Tribal Agencies/Organizations, NGOs, aquaculture industry members and associations,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take place within the United States or territories or their respective waterways. 
Applicants complete and maintain three registrations to be eligible to apply for or receive an award. These registrations include eRA Commons. All registrations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first obtain a Unique Entity Identifier (UEI) from SAM.gov, if needed (refer to Section IV. Applications and Submission Information, Section C). Organizations can register with eRA Commons in tandem with completing their full SAM and Grants.gov registrations; however, all registrations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NOAA-OAR-SG-2025-29019. 
</t>
  </si>
  <si>
    <t>NOAA's Restoring Fish Passage through Barrier Removal Grants Under the Bipartisan Infrastructure Law- Round 3</t>
  </si>
  <si>
    <t>County governments Eligible applicants are institutions of higher education, non-profits, commercial (for profit) organizations, U.S. territories, and state, local, and Native American and Alaska Native tribal governments. Applications from federal agencies or employees of federal agencies will not be considered. Federal agencies are strongly encouraged to work with applicants who are eligible to apply. Applicants must propose work in areas that benefit United States migratory fish as defined in the Program Objective (Section I.A). Eligible applicants for Great Lakes projects must propose work within the Great Lakes basin within one of the eight U.S. Great Lakes states (New York, Pennsylvania, Ohio, Michigan, Indiana, Illinois, Wisconsin, and Minnesota). Eligible applicants that propose projects in the Commonwealth and Territories of the United States must propose work in American Samoa, Guam, Northern Mariana Islands, U.S. Virgin Islands, or Puerto Rico.</t>
  </si>
  <si>
    <t xml:space="preserve">The principal objective of NOAAâ€™s Restoring Fish Passage through Barrier Removal Notice of Funding Opportunity is to provide federal financial and technical assistance to fish passage through the removal of dams and other in-stream barriers for native migratory or sea-run fish. Funding will be used for fish passage that rebuilds productive and sustainable fisheries, contributes to the recovery and conservation of threatened and endangered species, enhances watershed health, promotes resilient ecosystems and communities, especially in underserved communities, and improves economic vitality, including local employment. This funding opportunity announcement is authorized under the Infrastructure Investment and Jobs Act (Bipartisan Infrastructure Law (BIL), Public Law 117-58). Applicants should address the following program priorities: 1. Achieving measurable and lasting benefits for migratory fish populations; 2. Enhancing community resilience to climate hazards and providing other co-benefits; 3. Fostering regionally important habitat restoration; and 4. Providing benefit to and engaging with underserved communities, including through partnerships with Indian tribes and other indigenous communities. Proposals submitted under this funding opportunity should describe how the proposed fish passage will: 1. Contribute to the recovery of threatened and endangered species listed under the Endangered Species Act; 2. Sustain or help rebuild fish stocks and their prey managed under the Magnuson-Stevens Fishery Conservation and Management Act; 3. Improve passage to support native fish species of the Great Lakes; 4. Enhance the sustainability of saltwater recreational fisheries; 5. Enhance community resilience, especially in tribal, indigenous and underserved communities, to climate hazards by removing or improving aging infrastructure and supporting other co- benefits; or 6. Support hydroelectric license surrender to remove dams that are no longer economically viable or provide significant public benefits. Proposed activities may include future project development and feasibility studies; engineering and design; permitting; on-the-ground fish passage restoration; pre- and post-removal implementation monitoring; community engagement, including in tribal, indigenous and underserved communities; building the capacity of new and existing restoration partners to manage multi-faceted project design and construction; and education and outreach. Applicants may apply for funding to support one or more of these activities. Priority will be given to activities with the highest certainty to occur within a 2-3 year award period. Proposals may include multiple locations throughout a watershed or other geographic area and should demonstrate how multiple locations collectively contribute to priorities within the watershed or geographic area. Proposals that focus on the removal of barriers will score higher than proposals that install structures that require operations and maintenance. NOAA is committed to the goals of advancing equity and support for underserved communities. NOAA encourages applicants to include and demonstrate principles of diversity, equity, inclusion, and accessibility through proactive, meaningful, and equitable community engagement in the identification, design, and/or implementation of proposed projects. NOAA also encourages applicants to propose projects with benefits to tribal, indigenous or underserved communities and that appropriately consider and elevate local or indigenous knowledge in project design, implementation, and evaluation. Applicants should identify if the project is located within tribal or underserved communities and/or whether a portion of the resilience benefits from the proposed work will flow to tribal, indigenous or underserved communities. This program will advance the Biden-Harris Administrationâ€™s Justice40 Initiative. Established by Executive Order 14008 on Tackling the Climate Crisis at Home and Abroad, the Justice40 Initiative set the goal that 40 percent of the overall benefits of certain federal investments, such as climate, clean energy, and other areas, flow to disadvantaged communities that are marginalized and overburdened by pollution and underinvestment. Proposals selected for funding through this funding opportunity will be funded through cooperative agreements. NOAA anticipates that the period of performance for most awards will be for three years. NOAA anticipates typical federal funding for awards will range from $3 million to $5 million over three years. NOAA will not accept proposals with a federal funding request of less than $750,000 or more than $8 million total. Funds will be administered by the Community-based Restoration Program within the NOAA Office of Habitat Conservation, as directed in the Bipartisan Infrastructure Law. </t>
  </si>
  <si>
    <t>Office of Postsecondary Education (OPE): International Foreign Language Education (IFLE): Fulbright-Hays Doctoral Dissertation Research Abroad (DDRA) Fellowship Program, Assistance Listing Number 84.022A</t>
  </si>
  <si>
    <t>Others (see text field entitled "Additional Information on Eligibility" for clarification) 1.a.  Eligible Applicants:  Institutions of higher education (IHEs).  Eligible doctoral students submit their individual research narratives and application forms to the project director at their home IHE, who then compiles all the research narratives from the doctoral students and incorporates them into the institutional grant application package that the institution submits electronically through the Department s G6 system on behalf of all doctoral student applicants at that institution.b.  Individuals Eligible to Receive a Fellowship:  An individual is eligible to receive a fellowship if the individual: is a citizen, national or permanent resident of the United States; is a graduate student in good standing at an institution of higher education and, when the fellowship period begins, is admitted to candidacy in a doctoral degree program in modern foreign languages and area studies at that institution; is planning a teaching career in the United States upon completion of his or her doctoral program; and possesses sufficient foreign language skills to carry out the dissertation research project.</t>
  </si>
  <si>
    <t xml:space="preserve">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Fulbright-Hays DDRA Fellowship Program provides opportunities for doctoral students to engage in dissertation research abroad in modern foreign languages and area studies. The program is designed to contribute to the development and improvement of the study of modern foreign languages and area studies in the United States. 
Assistance Listing Number (ALN) 84.022A. 
 </t>
  </si>
  <si>
    <t>Climate Resilience Centers</t>
  </si>
  <si>
    <t>Others (see text field entitled "Additional Information on Eligibility" for clarification) To advance programmatic objectives, in accordance with 2 CFR 910.126, Competition, eligibility for award is restricted to domestic applicants except nonprofit organizations described in section 501(c)(4) of the Internal Revenue Code of 1986 that engaged in lobbying activities after December 31, 1995, that must be either:_x000D_
1.	Classified as an MSI  and NOT listed as an R1 Research Institution,  or_x000D_
2.	An emerging research institution, defined as an institution of higher education with an established undergraduate or graduate program that has less than $50,000,000 in annual Federal research expenditures  and NOT listed as an R1 Research Institution.2_x000D_
Using the current data available, a list of eligible institutions is provided at https://science.osti.gov/grants/Applicant-and-Awardee-Resources/Institution-Designations. An institution that meets these criteria either on the date this NOFO is published, or the date pre-applications are due will be eligible. _x000D_
_x000D_
A goal of this NOFO is to increase participation of underrepresented groups in BER s research portfolio. BER is fully committed to advancing a diverse, equitable, and inclusive research community which is key to providing the scientific and technical expertise for U.S. scientific leadership. This program is intended to build research capacity in climate resilience, leverage ongoing DOE climate science and capabilities at national laboratories and universities, and build two-way engagement between DOE funded research and community stakeholders.</t>
  </si>
  <si>
    <t xml:space="preserve">The DOE SC program in Biological and Environmental Research (BER) hereby announces its interest in applications from the scientific community for Climate Resilience Centers (CRCs) that will improve the availability and utility of BER research, data, models, and capabilities to address climate resiliency, particularly by underrepresented or vulnerable communities. BERâ€™s mission is to support transformative science and scientific user facilities to achieve a predictive understanding of complex biological, Earth, and environmental systems for energy and infrastructure security, independence, and prosperity. BER research furthermore advances the fundamental understanding of dynamic, physical, and biogeochemical processes required to systematically develop Earth system models that integrate across the atmosphere, land masses, oceans, sea ice, subsurface, and human systems. These science-based predictive tools and methods are critically needed to inform policies and plans for strengthening the security and resilience of critical infrastructure and natural resources. 
First launched as a program in FY 2023, CRCs extend DOE climate science and research capacity by supporting non-R1 Minority Serving Institutions (MSIs) and non-R1 Emerging Research Institutions (ERIs) to address the needs for regional resilience; including new science to describe climate change induced impacts and recovery in natural, socioeconomic, and/or built systems and their intersections. CRCs also aim to foster capacity at regional and local scales by connecting with affected communities and stakeholders to translate basic research into actionable science to enhance climate resilience, as well as to identify research priorities for future DOE investments. CRCs form a nucleus for building and empowering a future pool of local talent and expertise, including young scientists, engineers, and technicians, to address local resilience challenges and inform equitable solutions. CRCs will leverage ongoing DOE climate science and capabilities that exist at currently supported DOE national laboratories and universities, and build two-way engagement between DOE funded research and community stakeholders for improved climate resilience responses. </t>
  </si>
  <si>
    <t>Targeting Inflammasomes in HIV and Substance Use (R21 Clinical Trial Not Allowed)</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</si>
  <si>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</si>
  <si>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scientific objective of this Notice of Funding Opportunity is to encourage research to delineate the role of inflammasomes in the neuropathology produced by acute or chronic drug exposure and HIV infection. Understanding the involvement of inflammasomes in virus and drug-induced immune activation may help identify molecular markers and CNS immune cells associated with HIV-1 infection or disease progression among substance abuse populations, as well as identify novel therapies to target inflammasome activation or suppression to treat neuroinflammation and immune dysregulation aroused in these processes.</t>
  </si>
  <si>
    <t>Targeting Inflammasomes in HIV and Substance Use (R01 Clinical Trial Not Allowed)</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</si>
  <si>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</si>
  <si>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Galvanizing Leaps in Advanced Super INsulating Glass (GLASING)</t>
  </si>
  <si>
    <t>Unrestricted (i.e., open to any type of entity above), subject to any clarification in text field entitled "Additional Information on Eligibility" See Section II.A. of the NOFO.</t>
  </si>
  <si>
    <t>FOA Number: DE-FOA-0003488 Galvanizing Leaps in Advanced Super INsulating Glass (GLASING)
To obtain a copy of the Notice of Funding Opportunity (NOFO) please go to ARPA-E eXCHANGE at https://arpa-e-foa.energy.gov.  To apply to this NOFO, Applicants must register with and submit application materials through ARPA-E eXCHANGE (https://arpa-e-foa.energy.gov/Registration.aspx).  For detailed guidance on using ARPA-E eXCHANGE, please refer to the ARPA-E eXCHANGE User Guide (https://arpa-e-foa.energy.gov/Manuals.aspx).  ARPA-E will not review or consider application materials submitted through other means. For problems with ARPA-E eXCHANGE, email ExchangeHelp@hq.doe.gov (with NOFO name and number in the subject line). Questions about this NOFO? Check the Frequently Asked Questions available at http://arpa-e.energy.gov/faq.  For questions that have not already been answered, email ARPA-E-CO@hq.doe.gov.  
The Advanced Research Projects Agency â€“ Energy (ARPA-E), an organization within the Department of Energy (DOE), is chartered by Congress in the America COMPETES Act of 2007 (P.L. 110-69), as amended by the America COMPETES Reauthorization Act of 2010 (P.L. 111-358), as further amended by the Energy Act of 2020 (P.L. 116-260):
â€œ(A) to enhance the economic and energy security of the United States through the development of energy technologies thatâ€”
(i) reduce imports of energy from foreign sources;
(ii) reduce energy-related emissions, including greenhouse gases;
(iii) improve the energy efficiency of all economic sectors; 
(iv) provide transformative solutions to improve the management, clean-up, and disposal of radioactive waste and spent nuclear fuel; and
(v) improve the resilience, reliability, and security of infrastructure to produce, deliver, and store energy; and
(B) to ensure that the United States maintains a technological lead in developing and deploying advanced energy technologies.â€
ARPA-E issues this Notice of Funding Opportunity (NOFO) under its authorizing statute codified at 42 U.S.C. Â§ 16538. The NOFO and any cooperative agreements or grants made under this NOFO are subject to 2 C.F.R. Part 200 as supplemented by 2 C.F.R. Part 910.
ARPA-E funds research on, and the development of, transformative science and technology solutions to address the energy and environmental missions of the Department. The agency focuses on technologies that can be meaningfully advanced with a modest investment over a defined period of time in order to catalyze the translation from scientific discovery to early-stage technology. For the latest news and information about ARPA-E, its programs and the research projects currently supported, see: http://arpa-e.energy.gov/.
ARPA-E funds transformational research. Existing energy technologies generally progress on established â€œlearning curvesâ€ where refinements to a technology and the economies of scale that accrue as manufacturing and distribution develop drive improvements to the cost/performance metric in a gradual fashion. This continual improvement of a technology is important to its increased commercial deployment and is appropriately the focus of the private sector or the applied technology offices within DOE. In contrast, ARPA-E supports transformative research that has the potential to create fundamentally new learning curves. ARPA-E technology projects typically start with cost/performance estimates well above the level of an incumbent technology. Given the high risk inherent in these projects, many will fail to progress, but some may succeed in generating a new learning curve with a projected cost/performance metric that is significantly better than that of the incumbent technology. ARPA-E will provide support at the highest funding level only for submissions with significant technology risk, aggressive timetables, and careful management and mitigation of the associated risks.
ARPA-E funds technology with the potential to be disruptive in the marketplace. The mere creation of a new learning curve does not ensure market penetration. Rather, the ultimate value of a technology is determined by the marketplace, and impactful technologies ultimately become disruptive â€“ that is, they are widely adopted and displace existing technologies from the marketplace or create entirely new markets. ARPA-E understands that definitive proof of market disruption takes time, particularly for energy technologies. Therefore, ARPA-E funds the development of technologies that, if technically successful, have clear disruptive potential, e.g., by demonstrating capability for manufacturing at competitive cost and deployment at scale. 
ARPA-E funds applied research and development (R&amp;D). The Office of Management and Budget defines â€œapplied researchâ€ as an â€œoriginal investigation undertaken in order to acquire new knowledgeâ€¦directed primarily towards a specific practical aim or objectiveâ€ and defines â€œexperimental developmentâ€ as â€œcreative and systematic work, drawing on knowledge gained from research and practical experience, which is directed at producing new products or processes or improving existing products or processes.â€  Applicants interested in receiving financial assistance for basic research (defined by the Office of Management and Budget as â€œexperimental or theoretical work undertaken primarily to acquire new knowledge of the underlying foundations of phenomena and observable factsâ€)1 should contact the DOEâ€™s Office of Science (http://science.energy.gov/). Office of Science national scientific user facilities (http://science.energy.gov/user-facilities/) are open to all researchers, including ARPA-E Applicants and awardees. These facilities provide advanced tools of modern science including accelerators, colliders, supercomputers, light sources and neutron sources, as well as facilities for studying the nanoworld, the environment, and the atmosphere. Projects focused on early-stage R&amp;D for the improvement of technology along defined roadmaps may be more appropriate for support through the DOE applied energy offices including: the Office of Energy Efficiency and Renewable Energy (http://www.eere.energy.gov/), the Office of Fossil Energy and Carbon Management (https://www.energy.gov/fecm/office-fossil-energy-and-carbon-management), the Office of Nuclear Energy (http://www.energy.gov/ne/office-nuclear-energy), and the Office of Electricity (https://www.energy.gov/oe/office-electricity).
ARPA-E encourages submissions stemming from ideas that still require proof-of-concept R&amp;D efforts as well as those for which some proof-of-concept demonstration already exists. Submissions can propose a project with the end deliverable being an extremely creative, but partial solution.
Program Overview:
Projects funded under the Galvanizing Leaps in Advanced Super INsulating Glass (GLASING) program will develop high performance Insulated Glass Units (IGUs) to improve the energy efficiency of new and existing buildings. GLASING technologies will achieve more than three times the thermal performance of the widely used 50-year-old double-pane IGU technology at competitive cost and optical performance. Applications for GLASING technologies will include new and retrofit single- and double-hung windows, bay windows, casement windows, awning windows, skylights, etc.
Residential and commercial buildings accounted for 39.1% of the primary energy used in the U.S. in 2021, and 38% of that energy was used for space heating and cooling.  Approximately 35% of that heating and cooling energy was lost through the building envelope (e.g., windows, walls, doors, attic, and air leaks). Overall, windows were responsible for 8.6% of the total energy used in buildings.  Compared to walls, which typically have R-values between R-10 and R-30, single-pane windows and double-pane IGUs have R-values between R-1 and R-3.5 and are thus often the cause of poor building thermal performance. Reducing the amount of heat lost or gained (and thus energy used) through windows would reduce utility costs and carbon dioxide emissions. It would also enable the use of smaller, less expensive HVAC equipment and ducting systems, increasing the useful interior space of buildings and reducing the demand for energy on the electrical grid. 
An IGU is composed of two or more glass panes that provide a measure of thermal insulation, and IGUs are often held within a sash and/or frame. In double-pane low emissivity (or double low-e) IGUs, the main thermal resistance is provided by a layer of gas (usually air, argon, or krypton) trapped between the two panes. The panes are separated by a spacer containing a desiccant to absorb water and a polyisobutylene seal that minimizes water and gas transfer. Radiation across the gap is minimized by the application of a low-e coating on the inward facing surface of one or both panes.  The remaining heat transfer mechanisms are conduction through the edge seal and both conduction and convection through the fill gas. The center-of-glass (COG) thermal resistance as a function of the gas thickness initially increases as the conduction resistance increases but reaches a maximum and then decreases as natural convection commences.
Various techniques can be used to increase the thermal resistance of over that of double-pane IGUs (Figure 2 on the following page). Gases with lower thermal conductivity, higher density, and higher viscosity such as argon or krypton could replace air in double low-e IGUs. Multiple gas layers can be used at the expense of heavier, thicker, and more expensive IGUs. Thin triple IGUs use a thin layer of glass within a standard double low-e IGU to minimize convection. Transparent materials (e.g., aerogels) with a thermal conductivity lower than that of air can be placed within the gap, which has the additional benefit of reducing convection. Finally, the gas can be eliminated altogether in Vacuum Insulated Glazing (VIG), leaving only conduction through the small spacers and the edge seal as the remaining heat transfer mechanisms.
To view the NOFO in its entirety, please visit https://arpa-e-foa.energy.gov.</t>
  </si>
  <si>
    <t>Innovation Corps (I-Corps) at NIH Program for NIH and CDC Translational Research (Admin Supp Clinical Trial NOT Allowed)</t>
  </si>
  <si>
    <t>Public and State controlled institutions of higher education Other Eligible Applicants include the following:
Non-domestic (non-U.S.) Entities (Foreign Organizations) are not eligible to apply.
Non-domestic (non-U.S.) components of U.S. Organizations are not eligible to apply.
Foreign components, as defined in the NIH Grants Policy Statement, are not allowed. 
See funding announcement for eligibility details</t>
  </si>
  <si>
    <t>Through this I-Corps at NIH program Notice of Funding Opportunity (NOFO), NIH and CDC provide administrative supplement awards to active SBIR (NIH and CDC) and STTR Phase I (NIH only) grantees/awardees. The I-Corps at NIH mission is to empower entrepreneurs in developing and validating a strategic business model through diverse customer discovery in order to meet unmet clinical needs. I-Corps enables and accelerates the transformation of invention to impact
SBIR and STTR Phase I awardees in a no-cost extension are eligible as long as, if selected, their no cost extension covers the entire duration of I-Corps at NIH cohort. The program provides three-member project teams with access to instruction and mentoring to accelerate the translation of technologies currently being developed with NIH and CDC SBIR and STTR funding. It is anticipated that outcomes for the I-Corps teams participating in this program will include significantly refined commercialization plans and well-informed pivots in their overall commercialization strategies. Prospective applicants are strongly encouraged to contact Scientific/Research staff for more information about the program before applying.</t>
  </si>
  <si>
    <t>Centers of Excellence in Maternal and Child Health Education, Science, and Practice</t>
  </si>
  <si>
    <t>Native American tribal governments (Federally recognized) These types of domestic* organizations may apply. Public institutions of higher education. Non-profit private institutions of higher education. Native American tribal governments and organizations that are institutions of higher learning (education) See 42 CFR  51a.3(b). * Domestic means the 50 states, the District of Columbia, the Commonwealth of Puerto Rico, the Northern Mariana Islands, American Samoa, Guam, the U.S. Virgin Islands, the Federated States of Micronesia, the Republic of the Marshall Islands, and the Republic of Palau. Individuals are not eligible applicants under this NOFO.</t>
  </si>
  <si>
    <t>The purpose of the Centers of Excellence in Maternal and Child Health (MCH) Education, Science, and Practice (CoE) program is: â€¢To strengthen and expand the MCH workforce by training graduate and post-graduate public health students in MCH. â€¢To advance MCH science, research, practice, and policy through a well-trained MCH public health workforce.</t>
  </si>
  <si>
    <t>Ethiopia Rapid Response Mechanism (RRM)</t>
  </si>
  <si>
    <t>Unrestricted (i.e., open to any type of entity above), subject to any clarification in text field entitled "Additional Information on Eligibility" Refer to SECTION B: ELIGIBILITY in the RFA for more information.</t>
  </si>
  <si>
    <t>November 25, 2024
Original Closing date: Closing Date for Full Applications is December 19, 2024, 16:59 p.m. EST
Current Closing Date: Closing Date for Full Applications is December 19, 2024, 16:59 p.m. EST
Description: 
Please note that the USAID's Bureau for Humanitarian Assistance (BHA) Final Amendment 1for Ethiopia and the Question   Answer documents have been published as of Monday, November 25, 2024. The amended NOFO (changes highlighted in yellow) and Q A Document address the pertinent questions/comments received by November 8, 2024, which was the closing date for questions 
Full Applications should be submitted to grants.gov via the instructions under Sections D and E no later than December 19, 2024, 16:59 p.m. EST.
October 28, 2024
USAID/BHA is soliciting applications to support the overall goal of this Ethiopia RRM activity, which is to â€œrapidly respond to urgent humanitarian needs across Ethiopia for vulnerable and shock-affected populations to preserve human dignity and save lives.â€ 
BHA intends to contribute to this goal through the following purposes:
â— Establish an effective Rapid Response Mechanism;
â— Meet urgent humanitarian needs through a proven community engagement approach;
â— Improve adaptive and absorptive capacities of communities.
Questions regarding this RFA should be submitted in writing to: BHA.RFA.720BHA25RFA00001@usaid.gov November 8, 2024, 16:59 p.m. Eastern Standard Time (EST)</t>
  </si>
  <si>
    <t>Nonprofit Security Grant Program National Security Supplemental</t>
  </si>
  <si>
    <t>DHS-DHS</t>
  </si>
  <si>
    <t>Department of Homeland Security - FEMA</t>
  </si>
  <si>
    <t>Others (see text field entitled "Additional Information on Eligibility" for clarification) State Administrative Agencies</t>
  </si>
  <si>
    <t>The Nonprofit Security Grant Program â€“ National Security Supplemental (NSGP-NSS) supplements one (1) of three (3) grant programs that support the U.S. Department of Homeland Security (DHS)/Federal Emergency Management Agencyâ€™s (FEMA) focus on enhancing the ability of state, local, tribal, and territorial governments, as well as nonprofit organizations, to prevent, protect against, prepare for, and respond to terrorist or other extremist attacks. These grant programs are part of a comprehensive set of measures authorized by Congress and implemented by DHS to help strengthen the nationâ€™s communities against potential terrorist or other extremist attacks. The NSGP provides funding to nonprofit organizations at high risk of a terrorist or other extremist attack for facility hardening and other physical security enhancements and activities.  The NSGP-NSS was authorized by Congress to bolster nonprofit security and protect those organizations facing an elevated threat level due to the Israel-Hamas war.Applicants can submit applications for this funding opportunity through FEMA Grants Outcomes (GO). Access the system at https://go.fema.gov/</t>
  </si>
  <si>
    <t>Build Partner Capabilities to Counter Global Biological Threats</t>
  </si>
  <si>
    <t>Others (see text field entitled "Additional Information on Eligibility" for clarification) U.S.-based non-profit/non-governmental organizations with or without 501(c) (3) status of the U.S. tax code; foreign-based non-profit organizations/non-government organizations (NGO); Federally funded research and development centers (FFRDCs); public International Organizations; Foreign Public Organizations; U.S.-based private, public, or state institutions of higher education; foreign-based institutions of higher education, and U.S. for-profit organizations or businesses.</t>
  </si>
  <si>
    <t>ISN/CTRâ€™s Biosecurity Engagement Program (BEP) seeks to mitigate global biological threats by securing and/or protecting against the misuse of high consequence pathogens, synthetic biological materials, biotechnologies, genomic data, life sciences research, laboratory infrastructure, and related equipment for biological weapons (BW) purposes, and helping foreign partners develop biosecurity policy, guidance and technical capabilities at the national and regional levels to promote the adoption or compliance with international best practices and frameworks that advance U.S. biological nonproliferation objectives.</t>
  </si>
  <si>
    <t>Build Partner Resilience to Counter Proliferator State Hybrid Threats in the Nonproliferation Arena</t>
  </si>
  <si>
    <t>Others (see text field entitled "Additional Information on Eligibility" for clarification) U.S.-based non-profit/non-governmental organizations with or without 501(c) (3) status of the U.S. tax code; foreign-based non-profit organizations/nongovernment organizations (NGO); Federally funded research and development centers (FFRDCs); Public International Organizations; Foreign Public Organizations; U.S.-based private, public, or State institutions of higher education; Foreign-based institutions of higher education, and U.S. for-profit organizations or businesses.</t>
  </si>
  <si>
    <t>ISN/CTR seeks to address the erosion of nonproliferation norms.  Within the last decade, there has been a concerning trend in the willingness of proliferator states to use WMD materials, especially chemical weapons. In particular, the world has witnessed the repeated use of chemical weapons in multiple assassination attempts by different threat actors. This is often accompanied by conflicting and false WMD related false narratives that seek to deflect blame and cause confusion.</t>
  </si>
  <si>
    <t>Countering Proliferator State Advanced Conventional Weapons Proliferation</t>
  </si>
  <si>
    <t>Others (see text field entitled "Additional Information on Eligibility" for clarification) U.S.-based non-profit/non-governmental organizations with or without 501(c) (3) status of the U.S. tax code; foreign-based non-profit organizations/non-government organizations (NGO); federally funded research and development centers (FFRDCs); public International Organizations; Foreign Public Organizations; U.S.-based private, public, or state institutions of higher education; foreign-based institutions of higher education, and U.S. for-profit organizations or businesses.</t>
  </si>
  <si>
    <t>ISN/CTR seeks to build foreign partner capacity to counter the malign impact of proliferator statesâ€™ Advanced Conventional Weapons (ACW) sales, procurement, and proliferation networks. Proliferator states often use the sale of its weapons systems to exert malign influence, exacerbate regional conflicts, and develop long-term strategic defense dependencies. There is also a growing trend of the nexus across proliferator states to creating â€œno-limitâ€ partnerships to circumvent sanctions regimes and provide weapons to nefarious state and non-state threat actors.</t>
  </si>
  <si>
    <t>Advancing Nuclear Safety, Security, and Nonproliferation through the FIRST Program</t>
  </si>
  <si>
    <t>ISN/CTR administers the FIRST Program which provides technical capacity-building support to potential nuclear energy newcomer countries and current nuclear energy countries that are considering SMRs and other advanced reactor designs to meet their clean energy needs, consistent with the highest international standards of nuclear security, nonproliferation, and safety. FIRST is designed to enhance U.S. bilateral and multilateral cooperation, consistent with the IAEA nuclear energy infrastructure development milestones approach, in nuclear energy infrastructure development, nuclear security, and capacity-building. In so doing, the program supports secure, safe, and proliferation-resistant deployment of SMRs or other advanced reactors to partner countries.</t>
  </si>
  <si>
    <t>Build Partner Capabilities to Protect Critical Advanced and Emerging Technologies</t>
  </si>
  <si>
    <t>Many advanced and emerging technologies have dual-uses and are being sought by adversaries to lower barriers to developing or delivering WMD and advanced conventional weapons as well as enable technological, military, and economic advancement. A significant number of international public and private research organizations, tech industries, and start-up communities are unaware of dual-use applications of critical advanced and emerging technologies and remain vulnerable to theft and loss of critical advanced and emerging technologies, data, intellectual property (IP), knowledge and talent that can be leveraged for military end uses. Malign actors use legal and illegal means such as mergers and acquisitions, joint commercial ventures, talent recruitment programs, research partnerships, cybertheft, state-sponsored industrial espionage, supply chain diversion, or sales or donation of untrustworthy hardware and software to acquire foreign intellectual property and data to advance key priorities.</t>
  </si>
  <si>
    <t>Building Partner Capacity to Counter Chemical Weapons Threats</t>
  </si>
  <si>
    <t>The recent and increasing use of Chemical Weapons (CW) agents by proliferator states continues to erode the norm against CW use and poses a direct challenge to global nonproliferation efforts. Proliferator states are engaged in research and development efforts involving non-traditional agents (NTAs), Pharmaceutical-Based Agents (PBAs), and other novel agents that pose significant challenges to detection, identification, and attribution should they be used in CW attacks. The increasing pace of innovation in, and decentralization of, CW-relevant scientific fields, in combination with emerging technological tools, including generative AI and machine learning, makes the knowledge of how to produce CW more accessible to a wider range of actors. States and terrorist groups alike may recognize the increasingly lower barrier to entry for CW capabilities as an opportunity they can exploit.</t>
  </si>
  <si>
    <t>Countering WMD and UAS Threats in Iraq</t>
  </si>
  <si>
    <t>Despite its loss of key leaders as recently as September October 2024, the Islamic State of Iraq and Syria (ISIS) and other terrorist groups remain active in Iraq. In addition, U.S., Iraqi, and other allied security forces are increasingly being targeted by unmanned aerial systems (UAS) attacks from Iran-backed militia groups. Inadequate security practices leave legitimate chemical and biological material and precursor suppliers and vendors vulnerable to exploitation for use in a WMD by nefarious actors.</t>
  </si>
  <si>
    <t>Build Partner Capabilities to Counter the Russian Federation s Chemical and Biological Threats</t>
  </si>
  <si>
    <t>The United States has assessed that the Russian Federation has used chemical weapons in assassination attempts in the U.K. and Russia, and on the battlefield in Ukraine. In response, the U.S. government has imposed trade restrictions and/or sanctions against specific entities believed to be associated with the Russian Federationâ€™s Weapons of Mass Destruction (WMD) programs. This has included at least 25 entities located throughout Russia and Western Europe.</t>
  </si>
  <si>
    <t>Countering the Russian Federation s Sanctions Evasion Activities</t>
  </si>
  <si>
    <t>Russiaâ€™s unprovoked war in Ukraine has resulted in unprecedented international sanctions regimes targeting the perpetrators and enablers of Russiaâ€™s defense industrial base. These sanctions are a critical tool to help raise the cost on the Russian military, and its enablers, to access the resources, finances, and materials that advance its wartime objectives.</t>
  </si>
  <si>
    <t>Nonproliferation Scientist Engagement Program</t>
  </si>
  <si>
    <t>ISN/CTR created the Nonproliferation Scientist Engagement Program (NSEP) to provide near-term capacity-building and other support to these civilian STEs with dual-use relevant expertise who are geographically displaced or otherwise rendered financially vulnerable to proliferator state exploitation due to Russiaâ€™s further invasion of Ukraine. The NSEP focuses narrowly on that subset of civilian STEs who have scientific or engineering expertise that could be redirected and exploited by proliferator states or rogue actors to support nuclear, biological, chemical, or missile programs that could be used to attack the United States and our allies and partners. In addition to Ukraine, many of these STEs are located in countries such as Armenia, Georgia, Kazakhstan, and other Caucasian or Central Asian countries.</t>
  </si>
  <si>
    <t>Countering DPRK and Iran s WMD, UAS, and Missile Proliferation</t>
  </si>
  <si>
    <t>While the United States continues to seek negotiations with the Democratic Peopleâ€™s Republic of Korea (DPRK) to achieve the denuclearization of the Korean Peninsula, it maintains the policy that international pressure and sanctions must remain in force until the DPRK fully denuclearizes. ISN/CTR supports the pressure campaign against the DPRK by training partners to implement United Nations Security Council Resolutions (UNSCRs) constraining the DPRKâ€™s weapons of mass destruction (WMD) proliferation, to detect and halt DPRK-linked sanctions evasion activities, and to impede the DPRKâ€™s material and financial activities that fund the development of WMD and related delivery systems. ISN/CTR achieves this mission through capacity-building programs, open-source research, and other specialized efforts, all of which help countries detect and shut down financial and material flows to the DPRK.</t>
  </si>
  <si>
    <t>Build and Broaden: Enhancing Social, Behavioral and Economic Science Research and Capacity at Minority-Serving Institutions</t>
  </si>
  <si>
    <t xml:space="preserve">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*Who May Serve as PI:
The Principal Investigator for a Build and Broaden project must either be:
 A full-time scientist, educator or researcher at an accredited MSI. (For more information, consult the  a title= Dept of  href=  target= eligibility matrix  from the U.S. Department of Education and contact a Build and Broaden program officer with any questions). 
 A full-time scientist, educator, or researcher at any eligible non-MSI institution or organization who includes one or more MSI scholar(s) as senior/key personnel, co-PI or subawardee PI on the proposal. In this case, the PI must clearly demonstrate how they will foster research partnerships or capacity-building at the MSI as a primary goal of the proposed work. Proposals from principal investigators not based at MSIs must clearly demonstrate genuine collaboration and enrichment of the research capacity of the MSI scholar(s). For these proposals, more than 50 percent of the overall project s direct costs must go to the MSI(s). 
 </t>
  </si>
  <si>
    <t>Build and Broaden (B2) supports fundamental research and research capacity across disciplines at minority-serving institutions (MSIs) and encourages research collaborations with scholars at MSIs. Growing the science, technology, engineering and mathematics (STEM) workforce is a national priority. National forecasts of the impending shortage of workers with science and engineering skills and essential research workers underscore a need to expand opportunities to participate in STEM research (President's Council of Advisors on Science and Technology, 2012).
MSIs make considerable contributions to educating and training science leaders for U.S. economic growth and competitiveness. Yet NSF has received comparatively few grant submissions from, or involving, scholars at MSIs. Targeted outreach activities reveal that MSIs have varying degrees of familiarity with funding opportunities within NSF and particularly within the Social, Behavioral and Economic (SBE) Sciences Directorate. As a result, NSF is limited in its ability to support research and training opportunities in the SBE sciences at these institutions. With its emphasis on broadening participation , Build and Broaden is designed to address this problem. SBE offers Build and Broaden in order to increase proposal submissions, advance research collaborations and networks involving MSI scholars, and support research activities in the SBE sciences at MSIs. Proposals that outline research projects in the SBE sciences that increase students' pursuit of graduate training, enhance PI productivity build research capacity, or cultivate partnerships are especially encouraged to apply.
Proposals are invited from single principal investigators based at MSIs and from multiple co-investigators from groups of MSIs. Principal investigators who are not affiliated with MSIs may submit proposals, but must collaborate with PIs, co-PIs, or senior/key personnel from MSIs and describe how their project will foster research partnerships or capacity-building with at least one MSI as a primary goal of the proposed work. Proposals may address any scientific and cross-disciplinary areas supported by SBE. These areas include anthropology, archaeology, cognitive neuroscience, decision science, ecological research, economics, geography, linguistics, law and science, organizational behavior, political science, public policy, security and preparedness, psychology, and sociology. To find research areas supported by SBE please visit the SBE programs page or visit the NSF funding and awards page.</t>
  </si>
  <si>
    <t>Sea Grant Programs Only - FY2025 Aquaculture Internship Programs</t>
  </si>
  <si>
    <t>Others (see text field entitled "Additional Information on Eligibility" for clarification) The following entities are eligible to submit to this opportunity: Sea Grant College Programs, Sea Grant Institutional Programs, and Sea Grant Coherent Area Programs. For the remainder of this document, these entities are collectively referred to as  Sea Grant Programs . Programs are encouraged to partner with other Sea Grant Programs and/or other entities such as individuals, State and Tribal Agencies/Organizations, MSIs,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match._x000D_
_x000D_
To be eligible to apply or receive an award, applicants must complete and maintain three registrations; SAM.gov,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Sea Grant program applications to reflect diverse participation with regard to age, race, ethnicities, national origins, gender identities, sexual orientations, disabilities, cultures, religions, citizenship types, marital statuses, education levels, job classifications, veteran status types, income, and socioeconomic status.</t>
  </si>
  <si>
    <t xml:space="preserve"> 
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$1,500,000 will be available to fund aquaculture internships for a period of up to two years through the Sea Grant Aquaculture Internships Program. Federal funds ranging from $100,000-$500,000 may be requested per application. It is anticipated that this funding opportunity will occur on an annual basis, pending federal appropriations. The overall goal of the Sea Grant Aquaculture Internships Program is to provide commercial aquaculture experience for students (attending high school, undergraduate, or graduate school, including community colleges) and other interested individuals at partnering aquaculture operations. Successful proposals will provide hands-on, practical aquaculture work experience. Sea Grant programs and associated partners will administer their specific internship opportunities and funds should be utilized, in part, to fund salaries of interns, intern housing and transportation expenses as appropriate. Successful programs will provide interns with exposure to a variety of tasks associated with the operation of partnering aquaculture-related operations either public or private; enhance future employment opportunities and professional development; demonstrate significant partnership with the aquaculture community; and require documentation/reporting from interns and participating partners regarding internships. Participation of students enrolled in Minority Serving Institutions (MSIs) is encouraged. Proposals include participation and involvement of Sea Grant extension personnel aquaculture community stakeholders. These investments are consistent with Sea Grantâ€™s focus area of Sustainable Fisheries and Aquaculture (SFA) and the Sea Grant Networkâ€™s 10-year Aquaculture Vision, both which support NOAA and Department of Commerce aquaculture goals. 
This competition is open to all Sea Grant Programs. A Sea Grant Program may submit or be a part of more than one application. Programs are encouraged to partner with other Sea Grant Programs and/or other entities such as individuals, State and Tribal Agencies/Organizations, Minority Serving Institutions (MSIs), non-governmental organizations (NGOs), aquaculture industry members and associations, high schools, universities, and colleges, including community colleges.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take place within the United States or territories or their respective waterways. 
Applicants complete and maintain three registrations to be eligible to apply for or receive an award. These registrations include eRA Commons. All registrations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NOAA has created a guide to aid applicants format application packages to eRA, linked here. 
Prior to registering with eRA Commons, applicants first obtain a Unique Entity Identifier (UEI) from SAM.gov, if needed (refer to Section IV. Applications and Submission Information, Section C). Organizations can register with eRA Commons in tandem with completing their full SAM and Grants.gov registrations; however, all registrations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NOAA-OAR-SG-2025-28993. 
</t>
  </si>
  <si>
    <t>Office of Postsecondary Education (OPE): International Foreign Language Education (IFLE): Fulbright-Hays Group Projects Abroad (GPA) Program Short-Term Projects, Assistance Listing Number 84.021A</t>
  </si>
  <si>
    <t>Nonprofits having a 501(c)(3) status with the IRS, other than institutions of higher education Eligibility Information	1.a.  Eligible Applicants:  (1) IHEs, (2) State departments of education, (3) private nonprofit educational organizations, and (4) consortia of these entities.b.  Eligible Participants:  Citizens, nationals, or permanent residents of the United States, who are (1) faculty members who teach modern foreign languages or area studies at an IHE; (2) teachers in elementary or secondary schools; (3) experienced education administrators responsible for planning, conducting, or supervising programs in modern foreign language or area studies at the elementary, secondary, or postsecondary levels; or (4) graduate students, or juniors or seniors in an IHE, who plan teaching careers in modern foreign languages or area studies.Note:  If you are a nonprofit organization, under 34 CFR 75.51, you may demonstrate your nonprofit status by providing: (1) proof that the Internal Revenue Service currently recognizes the applicant as an organization to which contributions are tax deductible under section 501(c)(3) of the Internal Revenue Code; (2) a statement from a State taxing body or the State attorney general certifying that the organization is a nonprofit organization operating within the State and that no part of its net earnings may lawfully benefit any private shareholder or individual; (3) a certified copy of the applicant's certificate of incorporation or similar document if it clearly establishes the nonprofit status of the applicant; or (4) any item described above if that item applies to a State or national parent organization, together with a statement by the State or parent organization that the applicant is a local nonprofit affiliate.</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</si>
  <si>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Fulbright-Hays GPA Program is to promote, improve, and develop the study of modern foreign languages and area studies in the United States. The program provides opportunities for faculty, teachers, and undergraduate and graduate students to conduct group projects overseas. Projects may include either (1) short-term seminars, curriculum development, or group research or study, or (2) long-term advanced intensive language programs. 
 This competition invites applicants to submit an application to request support for either a Fulbright-Hays GPA short-term project (GPA short-term project 84.021A) or a Fulbright-Hays GPA long-term project (GPA long-term project 84.021B). Applicants must clearly indicate on the SF 424, the Application for Federal Assistance cover sheet, whether they are applying for a GPA short-term project (84.021A) or a GPA long-term project (84.021B). Additional submission requirements are included in the application package. 
Assistance Listing Number (ALN) 84.021A.</t>
  </si>
  <si>
    <t>Office of Postsecondary Education (OPE): International Foreign Language Education (IFLE): Fulbright-Hays Group Projects Abroad (GPA) Program Long-Term Projects, Assistance Listing Number 84.021B</t>
  </si>
  <si>
    <t>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Revised Common Instructions for Applicants to Department of Education Discretionary Grant Programs, published in the Federal Register on December 7, 2022. 
Purpose of Program: The purpose of the Fulbright-Hays GPA Program is to promote, improve, and develop the study of modern foreign languages and area studies in the United States. The program provides opportunities for faculty, teachers, and undergraduate and graduate students to conduct group projects overseas. Projects may include either (1) short-term seminars, curriculum development, or group research or study, or (2) long-term advanced intensive language programs. 
 This competition invites applicants to submit an application to request support for either a Fulbright-Hays GPA short-term project (GPA short-term project 84.021A) or a Fulbright-Hays GPA long-term project (GPA long-term project 84.021B). Applicants must clearly indicate on the SF 424, the Application for Federal Assistance cover sheet, whether they are applying for a GPA short-term project (84.021A) or a GPA long-term project (84.021B). Additional submission requirements are included in the application package. 
Assistance Listing Number (ALN) 84.021B.</t>
  </si>
  <si>
    <t>Precision Measurement Grant Program</t>
  </si>
  <si>
    <t>DOC-NIST</t>
  </si>
  <si>
    <t>National Institute of Standards and Technology</t>
  </si>
  <si>
    <t>Others (see text field entitled "Additional Information on Eligibility" for clarification) Eligible applicants include accredited institutions of higher education; non-profit organizations; for-profit organizations incorporated in the United States; State, local, Territorial, and Indian Tribal Governments; foreign public entities; and foreign organizations. Although Federal entities are not eligible to receive funding under this NOFO, they may participate as unfunded collaborators. Please note that individuals and unincorporated sole proprietors are not considered  non-Federal entities  and are not eligible to apply under this NOFO.</t>
  </si>
  <si>
    <t xml:space="preserve">The Precision Measurement Grant Program (PMGP) is seeking applications from eligible applicants for research work in the field of fundamental measurement, testing the basic laws of physics, and/or the determination of fundamental constants, with emphasis on pressing problems or emerging opportunities. </t>
  </si>
  <si>
    <t>Maternal and Child Health Public Health Catalyst Program</t>
  </si>
  <si>
    <t>Native American tribal governments (Federally recognized) These types of domestic* organizations may apply:Public institutions of higher education.Non-profit private institutions of higher education.Native American tribal governments and organizations that are institutions of higher learning (education).See 42 CFR  51a.3(b).*Domestic means the 50 states, the District of Columbia, the Commonwealth of Puerto Rico, the Northern Mariana Islands, American Samoa, Guam, the U.S. Virgin Islands, the Federated States of Micronesia, the Republic of the Marshall Islands, and the Republic of Palau.Individuals are not eligible applicants under this NOFO.</t>
  </si>
  <si>
    <t>The purpose of the Maternal and Child Health (MCH) Public Health Catalyst Program is to: â€¢Recruit and train diverse[2] graduate students in MCH public health. â€¢Expand MCH curriculum and degree offerings within schools and programs of public health where there is currently a lack of, or limited, MCH offerings. â€¢Build MCH faculty capacity within schools and programs of public health. You must select one of the two Catalyst Program tracks for your application: â€¢Track 1: MCH Curriculum Start-Up â€¢Track 2: MCH Curriculum Expansion</t>
  </si>
  <si>
    <t>Fiscal Years 2024-2026 Promoting Resilient Operations for Transformative, Efficient, and Cost-Saving Transportation (PROTECT) Program</t>
  </si>
  <si>
    <t>DOT-FHWA</t>
  </si>
  <si>
    <t xml:space="preserve">DOT Federal Highway Administration </t>
  </si>
  <si>
    <t>Others (see text field entitled "Additional Information on Eligibility" for clarification) APPLICANT ELIGIBILITY IS DEPENDENT ON PROJECT TYPE FOR THE PROTECT PROGRAM.Please refer to Related Documents tab for full text of the NOFO, including applicant eligibility requirements. Specifically, refer to Section C.1 of the NOFO for details on Eligible Applicants.</t>
  </si>
  <si>
    <t xml:space="preserve">PLEASE REFER TO THE RELATED DOCUMENT TAB FOR THE FULL TEXT OF THIS FUNDING OPPORTUNITY. IT'S INCUMBENT ON INTERESTED APPLICANTS TO REVIEW AND UNDERSTAND THE NOFO REQUIREMENTS PRIOR TO SUBMITTING APPLICATIONS.
NOFO AMENDMENT 1 (1/10/2025):
The purpose of this amendment to Promoting Resilient Operations for Transformative, Efficient, and Cost-Saving Transportation (PROTECT) Notice of Funding Opportunity (NOFO) Number 693JJ325NF00008 is to provide the Frequently Asked Questions (FAQs). Interested applicants can access the NOFO FAQs at the link below.
PROTECT FY2022 FY2023 NOFO QA
-- [END OF AMENDMENT 1] --
ORIGINAL NOFO POSTING (10/25/2024):
ï»¿FHWA is hereby accepting applications under the Fiscal Years 2024-2026 Promoting Resilient Operations for Transformative, Efficient, and Cost-Saving Transportation (PROTECT) Program.
PROGRAM OVERVIEW:  The purpose of the PROTECT Program is to provide grants on a competitive basis for projects that seek to strengthen surface transportation to be more resilient to natural hazards, including climate change, sea level rise, heat waves, flooding, extreme weather events, and other natural disasters through support of planning activities, resilience improvements, community resilience and evacuation routes, and at-risk costal infrastructure.
INFORMATIONAL WEBINARS: For each Application Open Period, FHWA plans to conduct outreach regarding PROTECT Discretionary Program grants in the form of virtual meetings (Webinars) after the NOFO period opens, and before the NOFO period closes. To view upcoming Webinars and register, please follow the instructions posted on https://www.fhwa.dot.gov/environment/protect/discretionary. The Webinars will be recorded and posted on FHWA's PROTECT Discretionary Grant Program Website at https://www.fhwa.dot.gov/environment/protect/discretionary.
APPLICATION DEADLINES:
 FY 2024 and 2025 Deadline: February 24, 2025, 11:59 p.m. ET
 FY 2026 Deadline: February 24, 2026, 11:59 p.m. ET
</t>
  </si>
  <si>
    <t>Build Partner Capabilities to Protect Semiconductor and CHIPS Technology</t>
  </si>
  <si>
    <t>Semiconductors are critical components in a most of todayâ€™s electronic devices. Semiconductors are also a critical input for the development of military technologies, WMD and WMD delivery system related technologies, and technologies with potential dual-uses â€“ such as artificial intelligence. Malign actors continue to undermine global business and research norms to increase access to semiconductor technology to gain undue economic and military advantages. Malign actors exploit gaps in the application of due diligence practices, physical security, and cybersecurity to acquire semiconductors and related manufacturing technology, as well as enhance their abilities to indigenously develop semiconductors. A significant number of international government, public and private research organizations, companies, and manufacturing organizations are unaware of dual-use applications of semiconductors and remain vulnerable to theft and loss of semiconductors, related research, data, IP, knowledge and talent that can be leveraged for military end uses.</t>
  </si>
  <si>
    <t>National Animal Disease Preparedness and Response Program Fiscal Year 2025 Tribal Funding Opportunity Announcement</t>
  </si>
  <si>
    <t>USDA-APHIS</t>
  </si>
  <si>
    <t>Animal and Plant Health Inspection Service</t>
  </si>
  <si>
    <t>Others (see text field entitled "Additional Information on Eligibility" for clarification) 1. Native American Indian Tribes  2. Tribal Organizations3. Tribal Colleges   Universities (TCUs)</t>
  </si>
  <si>
    <t>The U.S. Department of Agriculture (USDA), Animal and Plant Health Inspection Service (APHIS), Veterinary Services (VS) is announcing the availability of up to$500,000 in funds in the National Animal Disease Preparedness and Response Program (NADPRP) to support Tribal projects for livestock and poultry in the topic areas listed below.1. Develop, enhance, and exercise Tribal animal disease outbreak emergency response plans.2. Support livestock and poultry biosecurity measures and programs.3. Enhance capability and capacity for depopulation, carcass disposal, and decontamination in adisease outbreak.4. Support animal movement decisions in a disease outbreak.5. Enhance animal disease traceability during a disease outbreak.6. Develop and deliver training   exercises to improve animal disease outbreak responsecapabilities.7. Support outreach   education on animal disease prevention, preparedness, and response.8. Enhance aquatic animal disease preparedness and response.9. Enhance equine disease outbreak prevention   response.</t>
  </si>
  <si>
    <t>Advanced Hydrogen and Fuel Cell Technologies to Drive National Goals</t>
  </si>
  <si>
    <t>Nonprofits having a 501(c)(3) status with the IRS, other than institutions of higher education   Domestic Entities (Institutions of higher education; for-profit entities; non-profit entities; state and local government entities; and Indian Tribes, as defined in section 4 of the Indian Self-Determination and Education Assistance Act, 25 U.S.C.   5304
  DOE/NNSA FFRDCs are eligible to apply for funding as a subrecipient but are not eligible to apply as a recipient.
  Non-DOE/NNSA FFRDCs are eligible to participate as a subrecipient but are not eligible to apply as a recipient.
  Federal agencies and instrumentalities (other than DOE) are eligible to participate as a subrecipient but are not eligible to apply as a recipient.
  A foreign entity may submit an application to this NOFO, but the application must be accompanied by an explicit written waiver request. Likewise, if the applicant seeks to include a foreign entity as a subrecipient, the applicant must submit a separate explicit written waiver request in the application for each proposed foreign subrecipient. 
Nonprofit organizations described in Section 501(c)(4) of the Internal Revenue Code of 1986 that engaged in lobbying activities after December 31, 1995, are not eligible to apply for funding.</t>
  </si>
  <si>
    <t>Advanced Hydrogen and Fuel Cell Technologies to Drive National Goals 
The Office of Energy Efficiency and Renewable Energy (EERE) is issuing Notice of Funding Opportunity (NOFO) DE-FOA-0003439 on behalf of the Hydrogen and Fuel Cell Technologies Office (HFTO), which coordinates hydrogen activities with offices across the Department of Energy (DOE) as described in the DOE Hydrogen Program Plan. These activities align with EEREâ€™s mission, the U.S. National Clean Hydrogen Strategy and Roadmap, the U.S. National Blueprint for Transportation Decarbonization, and other DOE initiatives as described below.
The research, development, and demonstration activities to be funded under this NOFO support:
- The U.S. National Clean Hydrogen Strategy and Roadmap's "whole-of-government" approach to addressing the challenges facing clean hydrogen and drive innovation leading to the deployment of clean energy technologies that are critical for emissions reduction.
- Enabling increased adoption of clean hydrogen across critical sectors, including heavy-duty vehicles, supporting the U.S. National Blueprint for Transportation Decarbonization.
- The goals of the Hydrogen Energy EarthshotTM targeting affordable, clean hydrogen production at $1/kg by 2031.
- The H2@Scale Initiative aiming to advance affordable hydrogen production, transport, storage, and utilization to enable decarbonization and revenue opportunities across multiple sectors.
The NOFO is separated into two parts to help applicants focus on the application requirements and review criteria in Part 1, with the full inventory of application, post-selection, and post-award requirements available in Part 2. The two-part NOFO is anticipated to simplify the application process and improve access to EERE funding opportunities from a more diverse applicant pool.
DE-FOA-0003439_NOFO_Part_One includes specific programmatic goals, topic descriptions, eligibility requirements, evaluation criteria, and other components specific to this NOFO.
DE-FOA-0003439_NOFO_Part_Two includes standard information for the application phase and describes expectations for award negotiations and post-award requirements for selected applications.
Applicants should review both the NOFO Part 1 and the NOFO Part 2 prior to applying.</t>
  </si>
  <si>
    <t>Landmarks of American History and Culture</t>
  </si>
  <si>
    <t>City or township governments See C. Eligibility Information in the Notice of Funding Opportunity.</t>
  </si>
  <si>
    <t>The National Endowment for the Humanities (NEH) Division of Education Programs is accepting applications for the Landmarks of American History and Culture program. The program supports a series of one-week residential, virtual, and combined format workshops across the nation to enhance how K-12 educators and higher education faculty and humanities professionals incorporate place-based approaches to humanities teaching and scholarship.</t>
  </si>
  <si>
    <t>Organismal Response to Climate Change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</si>
  <si>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</si>
  <si>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The world is currently undergoing unprecedented changes in global climates across all biomes, with effects on nearly every life-form. How organisms respond to these rapidly changing conditions will have large consequences for the growth, reproduction and fitness of individual organisms, the distribution of species over space and time, the integrity and the composition of natural communities, the yield of domesticated crops and animals, and the incidence and severity of pathogen outbreaks. Consequences such as these are already having major impacts on the US bioeconomy, the world s food security, and the ecosystem services provided by living systems to humans. Developing a comprehensive understanding of the mechanistic underpinnings of organismal response to climate change will improve our ability to understand adaptive and plastic capacity of species and to predict and to mitigate maladaptive biological responses to rapidly changing environments, thus facilitating the maintenance of species on a changing planet.
Most climate change studies to date have lacked integration between investigations of organismal mechanisms of response and eco-evolutionary approaches. This solicitation calls for proposals that integrate the study of organismal mechanisms of response to climate change (ORCC) with eco-evolutionary approaches to better predict and mitigate the effects of a rapidly changing climate on earth s living systems. Specific areas of emphasis include but are not limited to integrating physiology and genomics into the next generation of species distribution models; understanding the mechanistic bases of plastic responses to climate change; functional genomics of organismal response to climate change; how biological interactions are affected by climate change; how biological interactions in turn affect organismal responses to climate change; and improving our ability to predict the limits of biological and global resilience as organisms face changing and novel climate conditions.
Proposals to the ORCC Solicitation are encouraged that build on NSF s investment in growing convergence research by developing integrative, cross-disciplinary approaches that examine the organismal mechanisms that underlie adaptive and maladaptive responses to environmental factors associated with climate change, how these responses affect fitness in changing and/or novel climates and the genetic and evolutionary processes (eco-evolutionary) through which these traits originate, persist, and are transmitted across generations. Further, this solicitation encourages creative approaches to use the results of these foundational research investigations to develop use-inspired ways to address societal challenges in anticipating and managing effects of climate change on organisms across spatial and temporal scales and biological hierarchies.
Proposals that do not bridge disciplinary components, that lack a specific focus on mechanisms of organismal response to climate change, that do not integrate organismal mechanistic insights with eco-evolutionary consequences above the level of the individual, or that do not describe a plan for use-inspired applications of foundational research, should be submitted to the "core" or special programs in IOS, OCE, or DEB are not appropriate for submission to this solicitation. Please contact a cognizant program officer if you have questions about where your planned proposal fits.</t>
  </si>
  <si>
    <t>2025 NOAA Hawaii Bay Watershed Education and Training (B-WET) program</t>
  </si>
  <si>
    <t>Others (see text field entitled "Additional Information on Eligibility" for clarification) Eligible funding applicants are K-12 public and independent schools and school systems, institutions of higher education, commercial and nonprofit organizations, state or local government agencies, and Indian tribal governments conducting projects in Hawaii (Islands of Hawaii, Maui, Kahoolawe, Lanai, Molokai, Oahu, Kauai, Niihau, and/or the Northwestern Hawaiian Islands). Individual applicants and federal agencies are not eligible._x000D_
_x000D_
DOC/NOAA supports cultural and gender diversity, and is strongly committed to broadening the participation of organizations that promote inclusion, such as tribal colleges, minority serving institutions, universities, and groups that work in historically underserved communities. The term underserved communities refers to populations sharing a particular characteristic, as well as geographic communities, that have been systematically denied a full opportunity to participate in aspects of economic, social, and civic life. Underserved communities are defined in Executive Order 13985: https://www.federalregister.gov/documents/2021/01/25/2021-01753/advancing-racial-equity-and-support-for-underserved-communities-through-the-federal-government._x000D_
_x000D_
Federal agencies and employees are not allowed to receive funds under this announcement, but may serve as collaborative project partners and may contribute services in-kind; these  in-kind services  cannot be considered as part of an applicant s match on shared costs. If an applicant proposes a federal agency as a collaborator, applicants should provide detail on the expected level of federal engagement in the application. Examples might include, but are not limited to partnership services; serving in a review capacity; or participating in priority task teams, working groups, or leadership teams. NOAA employees are not permitted to assist in the preparation of applications._x000D_
_x000D_
To be eligible to apply or receive an award, applicant organizations must complete and maintain three registrations; SAM.gov (https://sam.gov/content/home), Grants.gov (https://www.grants.gov/), and eRA Commons (https://www.commerce.gov/ocio/programs/gems/register-your-organization-era-commons).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t>
  </si>
  <si>
    <t>The NOAA Hawaii Bay Watershed Education and Training (B-WET) program is an environmental education program that meets NOAAâ€™s mission of science, service, and stewardship. The Hawaii B-WET program supports a vision of a future where societies and ecosystems are healthy and resilient in the face of sudden or prolonged change. The purpose for this funding opportunity is to support our communities by developing well-informed members of society, who are involved in decision-making that positively impacts our coastal, marine, and watershed ecosystems in the Hawaiian Islands. This is a competitive opportunity for grants to assist in the development of new programs, encourage innovative partnerships among environmental education programs, and support geographically targeted programs to advance environmental education efforts that complement national and state school requirements. The Hawaii B-WET program plays a foundational role as an environmental education program that promotes locally relevant, experiential learning in the K-12 environment on Priority Content Areas such as Science with an emphasis on climate and Indigenous Knowledge (IK). Funded projects provide Meaningful Watershed Educational Experiences (MWEEs) for students and professional development for teachers that support regional education and environmental priorities. More information about the B-WET program is online at https://www.noaa.gov/office-education/bwet.Applicant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t>
  </si>
  <si>
    <t>Centers for Accelerating Phage (Bacteriophage) Therapy to Combat ESKAPE Pathogens (CAPT-CEP) (P01 Clinical Trial Not Allowed)</t>
  </si>
  <si>
    <t>The purpose of this notice of funding opportunity (NOFO) is to solicit applications to establish Centers for Accelerating Phage Therapy to Combat ESKAPE Pathogens (CAPT-CEP). These Centers will focus on developing preclinical assays, tools, and models for robust phage therapy research and development (R and D) and advancing phage clinical research.</t>
  </si>
  <si>
    <t>Human Virome Program: Developing novel and innovative tools to interrogate and annotate the human virome (U01 Clinical Trial Not Allowed)</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</si>
  <si>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</si>
  <si>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Common Fund Human Virome Program aims to extensively characterize the human virome and create tools, models, and methods that will enable an in-depth study of its variation in relation to host factors and its influence on health and disease.  The purpose of this NOFO is to address the technological challenges that are currently hindering robust interrogation of the constituents and functionality of the human virome. Despite major advances in sequencing technology and computational analysis of large sequence data sets, challenges remain in examining viruses. This NOFO solicits applications to develop innovative and novel tools, models, and methods to overcome the major challenges in identifying and characterizing viruses, as well as the development of computational and bioinformatics tools to enhance the analysis of the human virome.  
This NOFO requires a Plan for Enhancing Diverse Perspectives (PEDP), which will be assessed as part of the scientific and technical peer review evaluation.</t>
  </si>
  <si>
    <t>OIA Technical Assistance Program 2025</t>
  </si>
  <si>
    <t>Others (see text field entitled "Additional Information on Eligibility" for clarification) Eligible applicants are non-federal entities such as local government agencies (including utilities)in Guam, American Samoa, the U.S. Virgin Islands, the Commonwealth of the Northern Mariana Islands, the Federated States of Micronesia, the Republic of the Marshall Islands, and the Republic of Palau; and hospitals/health centers, institutions of higher education and any nonprofit organizations whose projects directly benefit the seven insular areas in accordance with Federal regulations contained in the Code of Federal Regulations Title 2, Part 200  Uniform Administrative Requirements, Cost Principles, and Audit Requirements for Federal Awards  or 2CFR 200._x000D_
_x000D_
Per 2 CFR 200.444, OIA cannot provide funding to the Judicial or Legislative branches of local governments._x000D_
Please see the Application Package Checklist.</t>
  </si>
  <si>
    <t xml:space="preserve">The Office of Insular Affairs (OIA) is requesting proposals for its Technical Assistance Program (TAP) which provides grant funding for short-term projects intended to meet the immediate needs of the insular areas. The top priorities for this Administration include, but are not limited to: Disaster planning and response, energy production, natural and cultural resources, youth programs, health initiatives and health IT systems, public safety/emergencies, data improvements, and climate change (including water, energy, invasives species, food security and coral reef management). Synopsis Page 3 of 3 Other priorities for this Administration include, but are not limited to: accountability, financial management, economic development, education, management control initiatives, capacity building, and information technology. </t>
  </si>
  <si>
    <t>OIA Coral Reef and Natural Resources Program 2025</t>
  </si>
  <si>
    <t>Others (see text field entitled "Additional Information on Eligibility" for clarification) Eligible applicants are non-federal entities such as local government agencies (including utilities) in Guam, American Samoa, the U.S. Virgin Islands, the Commonwealth of the Northern Mariana_x000D_
Islands, the Federated States of Micronesia, the Republic of the Marshall Islands, and the_x000D_
Republic of Palau; and hospitals/health centers, institutions of higher education and any nonprofit organizations whose projects directly benefit the seven insular areas in accordance with_x000D_
Federal regulations contained in the Code of Federal Regulations Title 2, Part 200  Uniform_x000D_
Administrative Requirements, Cost Principles, and Audit Requirements for Federal Awards  or 2_x000D_
CFR 200._x000D_
_x000D_
Per 2 CFR 200.444, OIA cannot provide funding to the Judicial or Legislative branches of_x000D_
local governments._x000D_
Please see the Application Package Checklist.</t>
  </si>
  <si>
    <t>The Coral Reef   Natural Resources (CRNR) Initiative provides grant funding to protect the health of all natural resources including coral reef ecosystems in the U.S. insular areas for the long-term economic and social benefit to their island populations including control, prevention, rapid response, eradication, and other efforts to combat invasive species and restore native species.</t>
  </si>
  <si>
    <t>OIA Maintenance Assistance Program 2025</t>
  </si>
  <si>
    <t>Others (see text field entitled "Additional Information on Eligibility" for clarification) Eligible applicants are non-federal entities such as local government agencies (including utilities)_x000D_
in Guam, American Samoa, the U.S. Virgin Islands, the Commonwealth of the Northern Mariana Islands, the Federated States of Micronesia, the Republic of the Marshall Islands, and the Republic of Palau; and hospitals/health centers, institutions of higher education and any nonprofit organizations whose projects directly benefit the seven insular areas in accordance with Federal regulations contained in the Code of Federal Regulations Title 2, Part 200  Uniform Administrative Requirements, Cost Principles, and Audit Requirements for Federal Awards  or 2_x000D_
CFR 200._x000D_
_x000D_
Per 2 CFR 200.444, OIA cannot provide funding to the Judicial or Legislative branches of_x000D_
local governments._x000D_
Please see the Application Package Checklist.</t>
  </si>
  <si>
    <t xml:space="preserve">Maintenance Assistance Program (MAP) funding is used to support, develop, improve and institutionalize infrastructure maintenance practices in the seven insular areas. Activities will support maintenance training to extend the life of island infrastructure, ensure the safety of maintenance technicians, and/or increase the capacity of infrastructure to withstand extreme events; this includes training of maintenance technicians that increases knowledge and awareness of measures to be taken to protect infrastructure from severe weather impacts. </t>
  </si>
  <si>
    <t>Young Faculty Award (YFA) 2025</t>
  </si>
  <si>
    <t>The Defense Advanced Research Projects Agency (DARPA) Young Faculty Award (YFA) program aims to identify and engage rising stars in junior research positions in academia and equivalent positions at non-profit research institutions, particularly those without prior DARPA funding, to expose them to Department of Defense (DoD) needs and DARPAâ€™s mission to create and prevent technological surprise for national security. The YFA program will provide high-impact funding to researchers early in their careers to develop innovative new research that enables transformative DoD capabilities. Ultimately, the YFA program is developing the next generation of researchers focused on national security issues.</t>
  </si>
  <si>
    <t>Graduate Psychology Education Program (GPE)</t>
  </si>
  <si>
    <t>State governments You can apply if you are an accredited doctoral, internship, and/or post-doctoral residency program of health service psychology (including clinical psychology, counseling, and school psychology). Your training program must be accredited by a nationally recognized accrediting agency, approved for such purposes by the U.S. Department of Education.</t>
  </si>
  <si>
    <t>The purpose of this program is to train doctoral health service psychology students, interns, and postdoctoral residents in integrated, interdisciplinary behavioral health, with significant focus on trauma-informed care and substance use disorder prevention and treatment services.
 The program will prepare trainees for practice in community-based primary care settings in high need and high demand areas. To support trainees, the program will also focus on developing health service psychology faculty.</t>
  </si>
  <si>
    <t>Behavioral Health Workforce Education and Training Program for Professionals</t>
  </si>
  <si>
    <t>City or township governments Accredited institutions of higher education or accredited professional training programs that are establishing or expanding internships or other field placement See other submissions for other time frames that may apply to this NOFO. programs in mental health in psychiatry, psychology, school psychology, behavioral pediatrics, psychiatric nursing (which may include masters and doctoral level programs), social work, school social work, Substance Use Disorder (SUD) prevention and treatment, marriage and family therapy, occupational therapy (which may include masters and doctoral level programs), school counseling, or professional counseling, including such programs with a focus on child and adolescent mental health, trauma, and transitional-age youth. Accredited doctoral, internship, and post-doctoral residency programs of health service psychology (including clinical psychology, counseling, and school psychology) for the development and implementation of interprofessional training of psychology graduate students for providing behavioral health services, including trauma-informed care and SUD prevention and treatment services, as well as the development of faculty in health service psychology. Accredited masters and doctoral degree programs of social work for the development and implementation of interprofessional training of social work graduate students for providing behavioral health services, including trauma-informed care and SUD prevention and treatment services, and the development of faculty in social work.</t>
  </si>
  <si>
    <t>The purpose of the Behavioral Health Workforce Education and Training (BHWET) Program for Professionals is to increase the supply of behavioral health professionals and improve the distribution of a well-trained behavioral health workforce. The program has a specific focus on understanding the needs of children, adolescents, and young adults at risk for mental health, trauma, and behavioral health disorders.
 The BHWET Program for Professionals prepares the workforce by emphasizing interprofessional team-based models of care, integrating behavioral health training in primary care settings and recruiting a diverse workforce interested in serving high need and high demand areas.
 The program also invests increasing the number and training of clinical supervisors.</t>
  </si>
  <si>
    <t>Environmental Health Disparities Centers (P50) Clinical Trial Optional</t>
  </si>
  <si>
    <t>Native American tribal organizations (other than Federally recognized tribal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 are not eligible to apply.Non-domestic (non-U.S.) components of U.S. Organizations are not eligible to apply.Foreign components, as defined in the NIH Grants Policy Statement, are not allowed.</t>
  </si>
  <si>
    <t>The Environmental Health Disparities Centers seeks to solicit multidisciplinary research, research capacity building, and community-engaged research activities on environmental health disparities and environmental justice research for populations and communities experiencing health disparities within the US and its territories.</t>
  </si>
  <si>
    <t>Tribal Energy Development Capacity</t>
  </si>
  <si>
    <t>DOI-BIA</t>
  </si>
  <si>
    <t>Bureau of Indian Affairs</t>
  </si>
  <si>
    <t>Native American tribal governments (Federally recognized) Only Indian Tribes and Tribal Energy Development Organizations (TEDOs) are eligible to receive TEDC grants for projects on Indian land, as provided under the Energy Policy Act of 1992, as amended and codified under section 3502 of title 25 of the United States Code (25 U.S.C.   3502 (a)). TEDC grants may only fund projects occurring on Indian land as defined in the under 25 U.S.C.   3502. All grant applications must be accompanied by a Tribal resolution stating the Tribe s commitment to fully comply with grant award requirements and identifying the Tribal grant lead point of contact. If there exists within the Tribal government a policy, procedure, or other business rule that clearly establishes said authority to commit the Tribe a complying with the terms of grant awards and accompanied by a written statement from the authorized Tribal POC explicitly committing the Tribe to fully complying with the terms of the TEDC award as stated in this Notice of Funding Opportunity (NOFO). In this case only, grant applications may be accompanied by a written Tribal statement of commitment other than but of like effect to a Tribal resolution only.  Upon successful award of the grant, the Department shall direct all grant funding to the successful Tribal grantee. The Tribal grantee will then be responsible for distributing monies within the Tribe, Tribal Energy Development Organization, or other Tribal grant management office as needed.</t>
  </si>
  <si>
    <t>The Secretary of the Interior (â€œSecretaryâ€), through the Division of Energy and Mineral Development (DEMD), Office of Trust Services, Bureau of Indian Affairs (BIA), is soliciting grant proposals from Federally recognized tribal entities to build Tribal capacity for energy resource regulation and management.The Tribal Energy Development Capacity (TEDC) grant program seeks to develop the Tribal management, organizational and technical capacity needed to maximize the economic impact of energy resource development on Federally recognized tribal land. TEDC grants equip Federally recognized tribal entities to regulate and manage their energy resources through development of organizational and business structures and legal and regulatory infrastructure.Examples of projects TEDC grants may fund include establishment of Tribal business charters under Federal, state, or Tribal law with a focus on energy resource development; adoption and/or implementation of a secured transactions code; feasibility studies on forming a Tribal utility authority; and development of Tribal energy regulations.</t>
  </si>
  <si>
    <t>FY25 Ocean Acidification Coastal Research: Uniting Investigations and Shipboard Experiments (OA CRUISE)</t>
  </si>
  <si>
    <t>Others (see text field entitled "Additional Information on Eligibility" for clarification) Eligible applicants for this competition are institutions of higher education, nonprofit and for-profit organizations, and federal, state, local, and tribal governments. Foreign institutions may not be the primary recipient of awards under this announcement.  Applications from non-Federal and Federal applicants will be competed against each other. Proposals selected for funding from non-Federal applicants will be funded through a cooperative agreement as described above in section II. C. of this notice. Proposals selected for funding from NOAA scientists shall be distributed by an intra-agency fund transfer. Proposals selected for funding from a non-NOAA Federal agency will be funded through an inter-agency transfer. PLEASE NOTE: Before non-NOAA Federal applicants may be funded, they must demonstrate that they have legal authority to receive funds from another Federal agency in excess of their appropriation. Because this announcement is not proposing to procure goods or services from applicants, the Economy Act (31 USC 1535) is not an appropriate legal basis._x000D_
_x000D_
If an applicant has a partner(s) who would receive funds, the lead grantee will be expected to use subawards or subcontracts or other appropriate mechanisms to provide funds to the partner(s).</t>
  </si>
  <si>
    <t xml:space="preserve">NOAAâ€™s Ocean Acidification Program (OAP) is soliciting proposals to complement core observing activities on its upcoming East Coast Ocean Acidification Cruise (ECOA-4), which targets U.S. Coastal Large Marine Ecosystems on the North American East Coast from the Scotian Shelf to the port of Miami, extending from shore to beyond the shelf break. The proposed activities should expand the ocean acidification (OA)-focused observational and experimental capabilities of this repeated quadrennial oceanographic research cruise to better achieve the strategic aims of the program. Projects should complement the existing Level 1 capabilities of the ECOA-4 cruise by fulfilling Level 2 and/or Level 3 priorities outlined in the OA Cruise Science Priority Guidance document (https://bit.ly/OAP_NOFO2023). Proposals should demonstrate how their proposed efforts, in concert with the planned Level 1 core activities on ECOA-4, would address regionally relevant objectives in the NOAA Ocean, Coastal, and Great Lakes Research Plan: 2020-2029. 
Subject to the availability of funding, the OAP anticipates approximately $350,000 will be available to support approximately 1-3 projects total, with each project funded at $100,000 - $250,000 total. This document sets out requirements for submitting to this opportunity. For additional guidance and tips on how best to prepare an application, please contact the program managers listed in section VII.  
This funding opportunity is being released in tandem with a non-grant opportunity to sail on the ECOA-4 cruise. The opportunity, â€œNon-Grant Access to ECOA-4â€ will provide awardees with berth space, lab space, and sampling opportunities aboard the ECOA-4 cruise without a monetary award. The application process will require a 2-page description of the project along with logistical information regarding equipment needs, lab space and water needs, berth space requests, and others. Those interested in applying for space on ECOA-4 without receiving funding can contact the program managers listed in section VII.  
</t>
  </si>
  <si>
    <t>NASA Established Program to Stimulate Competitive Research (EPSCoR) Basic Research</t>
  </si>
  <si>
    <t>Others (see text field entitled "Additional Information on Eligibility" for clarification) The National Science Foundation (NSF) determines overall jurisdiction eligibility for NASA EPSCoR. The latest available NSF eligibility tables are used to determine overall jurisdiction eligibility for NASA EPSCoR. The NSF 2023 eligibility table is available at: https://nsf-gov-resources.nsf.gov/2022- 06/EPSCoR%20Eligibility%20Table%20Fiscal%20Year%202023.pdf. The following jurisdictions are eligible to submit a proposal in response to this NOFO: Alabama, Alaska, Arkansas, Delaware, Guam, Hawaii, Idaho, Iowa, Kansas, Kentucky, Louisiana, Maine, Mississippi, Montana, Nebraska, Nevada, New Hampshire, New Mexico, North Dakota, Oklahoma, Puerto Rico, Rhode Island, South Carolina, South Dakota, U.S. Virgin Islands, Vermont, West Virginia, and Wyoming.</t>
  </si>
  <si>
    <t>This Notice of Funding Opportunity (NOFO) solicits proposals that will result in awards to establish research activities that will make significant contributions to NASAâ€™s strategic research and technology development priorities and contribute to the overall research infrastructure, science, and technology capabilities of higher education. Awards resulting from successful proposals will also contribute to the economic development of the jurisdiction receiving funding. Each funded NASA EPSCoR proposer shall work closely with a NASA researcher to focus on developing competitive research and technology for the solution of scientific and technical issues of importance to the NASA Mission Directorates, Centers, and NASAâ€™s Jet Propulsion Laboratory (JPL) as listed in the Appendix-A, NASA Mission Directorates and Center Alignment. This collaboration will allow EPSCoR researchers to work alongside NASA and commercial partners and is intended to strengthen the bonds among NASA EPSCoR jurisdictions, NASA, commercial partners, and other entities.</t>
  </si>
  <si>
    <t>Rural Business Development Grant Program</t>
  </si>
  <si>
    <t>USDA-RBCS</t>
  </si>
  <si>
    <t xml:space="preserve">Rural Business-Cooperative Service </t>
  </si>
  <si>
    <t>Public and State controlled institutions of higher education Rural public entities including, but not limited to: Towns, Communities, State agencies, Authorities, Nonprofit corporations, Institutions of higher education, Federally-recognized tribes, Rural cooperative (if organized as a private nonprofit corporation).This program is only open to a Public Body/Government Entity, Federally Recognized Indian Tribe or a Nonprofit entity serving rural areas.  For profit entities, individuals and individual businesses are not eligible to receive grants under this program.</t>
  </si>
  <si>
    <t>The purpose of the program is to promote economic development and job creation projects through the awarding of grant funds to eligible entities.Applications will compete in two separate categories, business opportunity grants and business enterprise grants, for use in funding variousbusiness and community projects that serve rural areas.</t>
  </si>
  <si>
    <t>FY 2025-2029 Reef Research Coordinating Institute Designation and Cooperative Agreements</t>
  </si>
  <si>
    <t>Others (see text field entitled "Additional Information on Eligibility" for clarification) Eligible applicants are limited to the following institutes of higher education and nonprofits designated as coral reef research centers under the Coral Reef Conservation Act (16 U.S.C.   6411(b)):_x000D_
_x000D_
American Samoa Community College_x000D_
Arizona State University Center for Global Discovery and Conservation Science_x000D_
Caribbean Coral Reef Institute_x000D_
Center for Applied Tropical Ecology and Conservation, University of Puerto Rico_x000D_
Coral Restoration Foundation_x000D_
Coral World Ocean and Reef Initiative_x000D_
Florida Atlantic University_x000D_
Florida Institute of Oceanography at Key Marine Laboratory_x000D_
Florida Institute of Technology_x000D_
Florida International University_x000D_
Hawaii Marine Education Research Center_x000D_
Hawaii Sea Grant_x000D_
Institute of Socio Ecological Research_x000D_
Mote Marine Laboratory_x000D_
National Coral Reef Institute at Nova Southeastern University_x000D_
Phillip and Patricia Frost Museum of Science_x000D_
Plant A Million Corals Foundation_x000D_
The Nature Conservancy, Hawaii and Palmyra_x000D_
The Nature Conservancy, Puerto Rico Program_x000D_
The Nature Conservancy_x000D_
The Nature Conservancy, USVI Coral Innovation Hub_x000D_
University of Florida Sea Grant_x000D_
University of Florida_x000D_
University of Guam Marine Laboratory_x000D_
University of Hawaii at Hilo Department of Marine Science_x000D_
University of Hawaii at Hilo, Multiscale Environmental Graphical Analysis (MEGA) Lab_x000D_
University of Hawaii Systems_x000D_
University of Miami Rosenstiel School of Marine, Atmospheric, and Earth Science_x000D_
University of Puerto Rico, Department of Marine Sciences_x000D_
University of Puerto Rico, Humacao Campus Marine Biology Program_x000D_
University of Puerto Rico Mayaguez_x000D_
University of the Virgin Islands_x000D_
_x000D_
The Pacific Reef Research Coordinating Institute must be located within American Samoa, Guam, or Hawaii. The Atlantic Reef Research Coordinating Institute must be located within Florida, Puerto Rico, or the U.S. Virgin Islands. Only one CRRC in each basin will receive a RRCI designation and financial assistance award. In the event that a consortium of CRRCs submits a single application, the designation and award will reside with the submitting CRRC and that CRRC will be solely responsible for the award s administration._x000D_
_x000D_
To be eligible to apply or receive an award, applicant organizations must complete and maintain three registrations: SAM.gov, Grants.gov, and eRA Commons. For each, the complete registration process can take 4 to 6 weeks.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_x000D_
NOAA employees are not permitted to assist in the preparation of applications. NOAA CRCP staff are available to provide general information on programmatic goals and objectives, ongoing coral reef conservation programs/activities, and regional funding priorities. For proposals that involve collaboration with current NOAA projects or staff, NOAA employees may provide a limited statement verifying the nature and extent of the collaboration and confirming prior coordination activities. Letters of support from NOAA employees are not allowable and will not be included among the application materials considered by merit reviewers._x000D_
_x000D_
Federal agencies and employees are not allowed to receive funds under this announcement, but may serve as collaborative project partners. If federal agencies are collaborators, applicants are expected to provide detail on the planned level of federal engagement in the application. Examples may include, but are not limited to, partnership services, serving in a review capacity, or participating in priority task teams, working groups, or leadership teams._x000D_
_x000D_
DOC/NOAA supports cultural and gender diversity and encourages women and minority individuals and group</t>
  </si>
  <si>
    <t>The NOAA Coral Reef Conservation Program (CRCP) invites applications for the establishment of two Reef Research Coordination Institutes (RRCIs) through cooperative agreements to support the research, restoration, and management of shallow-water coral reef ecosystems within the U.S. states and territories. The two RRCIs will be to be known as the â€œAtlantic Reef Research Coordination Institute'' and the â€œPacific Reef Research Coordination Institute'' and will hold this designation for an initial five (5) year period of performance and may be renewed for up to another five (5) years without competition. Applicants must be previously designated as a Coral Reef Research Center by the CRCP in 2024.
The selected RRCIs must be able to work across a variety of areas including conducting research, supporting ecological research and monitoring, building capacity within jurisdictional resource management agencies, translating research findings to management and restoration practices, and conducting public education and awareness programs. Building capacity in the jurisdictions may include a variety of actions such as supporting personnel, providing training on jurisdictional driven topics, and/or managing a national fellowship program.
NOAA CRCP anticipates that up to $4,500,000 may be available annually for distribution between the two RRCIs. The actual annual funding will be based on 1) CRCP annual appropriations, 2) current and future national and state priorities, 3) the quality of projects proposed and selected during the negotiations, and 4) the satisfactory progress in achieving the stated goals described in project proposals.
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effective access to the internet, please contact the Agency Contacts listed in Section VII for submission instructions.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t>
  </si>
  <si>
    <t>FY2025 National Aquaculture Initiative: Strengthening U.S. Coastal, Marine, and Great Lakes Aquaculture Through Business Support</t>
  </si>
  <si>
    <t>Others (see text field entitled "Additional Information on Eligibility" for clarification) The following entities are eligible and encouraged to participate in this funding opportunity: any individual; any public or private corporation, partnership, or other association or entity (including any Sea Grant College, Sea Grant Institute, or other institution); or any State, political subdivision of a State, Tribal government or agency, or officer thereof.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To be eligible to apply or receive an award, applicants must complete and maintain three registrations; SAM.gov, Grants.gov, and eRA Commons. For each, the complete registration process can take 4 to 6 weeks, so applicants should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 The National Sea Grant College Program champions diversity, equity, and inclusion (DEI) by recruiting, retaining and preparing a diverse workforce, and proactively engaging and serving the diverse populations of coastal communities. Sea Grant is committed to building inclusive research, extension, communication and education programs that serve people with unique backgrounds, circumstances, needs, perspectives and ways of thinking. We encourage applicants of all ages, races, ethnicities, national origins, gender identities, sexual orientations, disabilities, cultures, religions, citizenship types, marital statuses, education levels, job classifications, veteran status types, income, and socioeconomic status types to apply for this opportunity.</t>
  </si>
  <si>
    <t>The National Sea Grant College Program was enacted by the U.S. Congress in 1966 (amended in 2020, Public Law 116-221) to support leveraged federal and state partnerships that harness the intellectual capacity of the nationâ€™s universities and research institutions to solve problems and generate opportunities in coastal communities. 
Subject to the availability of funding, Sea Grant anticipates that approximately $5,000,000 will be available for research projects and programs that will focus on strengthening U.S. coastal, marine, and Great Lakes aquaculture via support for the development of new aquaculture businesses, as well as enhancing existing aquaculture business output, efficiency, and profitability. Federal funds ranging from $100,000-$1,000,000 may be requested per application. Successful proposals will address topical needs (described below) and integrate research and extension. Proposals are sought that will support broad, non-proprietary research with the goal of enhancing aquaculture businesses, and preferably include participation and involvement of Sea Grant extension personnel and industry stakeholders. These investments are consistent with Sea Grantâ€™s focus area of Sustainable Fisheries and Aquaculture (SFA) and the Sea Grant Networkâ€™s 10-year Aquaculture Vision, both which support NOAA and Department of Commerce aquaculture goals. This opportunity is open to: any individual; any public or private corporation, partnership, or other association or entity (including any Sea Grant College, Sea Grant Institute, or other institution); or any State, political subdivision of a State, Tribal government or agency, or officer thereof. Federal agencies and their personnel are not permitted to receive federal funding under this competition; however, federal scientists and other employees can serve as uncompensated partners or co-Principal Investigators on applications. Federal labs and offices can also make available specialized expertise, facilities or equipment to applicants but cannot be compensated under this competition for their use, nor can the value of such assets be used as match. 
All projects take place within the United States or territories or their respective waterways. 
Applicants complete and maintain three registrations to be eligible to apply for or receive an award. These registrations include eRA Commons. All registrations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has created a guide to aid applicants format application packages to eRA: Tips and Tricks for Successful eRA Submissions, linked here. 
Prior to registering with eRA Commons, applicants first obtain a Unique Entity Identifier (UEI) from SAM.gov, if needed (refer to Section IV. Applications and Submission Information, Section C). Applicants can register with eRA Commons in tandem with completing their full SAM and Grants.gov registrations; however, all registrations be in place by time of application submission. eRA Commons requires organizations to identify at least one Signing Official (SO) and at least one Program Director/Principal Investigator (PD/PI) account in order to submit an application. 
This document sets out requirements for submitting to NOAA-OAR-SG-2025-28975.</t>
  </si>
  <si>
    <t>ROSES 2024: A.61 INjected Smoke and PYRocumulonimbus Experiment Science Team</t>
  </si>
  <si>
    <t xml:space="preserve">Please note that this program requests optional Notices of Intent, which are due via NSPIRES by December 6,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</si>
  <si>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Middle East Regional Cooperation (MERC)</t>
  </si>
  <si>
    <t>DOS-NEA-AC</t>
  </si>
  <si>
    <t>Assistance Coordination</t>
  </si>
  <si>
    <t>Others (see text field entitled "Additional Information on Eligibility" for clarification) Subject to change based on U.S. federal law and country-specific restrictions on funding, in addition toIsrael the following countries/territories are eligible to apply as MENA partners: Algeria, Bahrain, Kuwait,Egypt, Iraq, Jordan, Lebanon, Libya, Morocco, Oman, Qatar, Saudi Arabia, Tunisia, United Arab Emirates,and the West Bank and Gaza. Partners may come from academic, private sector, non-governmental, orgovernmental institutions eligible to receive U.S. foreign assistance. Please contact merc@usaid.gov with questions about eligibility.</t>
  </si>
  <si>
    <t>The MERC Program is funded as assistance to promote scientific cooperation, technology-led development, and capacity building between partners in Israel and eligible countries/territories in the Middle East and North Africa (MENA) region. Subject to change based on U.S. federal law and country-specific restrictions on funding, those countries include: Algeria, Bahrain, Kuwait, Egypt, Iraq, Jordan, Lebanon, Libya, Morocco, Oman, Qatar, Saudi Arabia, Tunisia, United Arab Emirates, and the West Bank and Gaza. Emphasis is given to research and technology subjects of regional importance and relevance to the development in the MENA. Moreover, benefits should target developing, USAID-presence countries in the MENA and resource-limited populations. Strong, direct cooperation between Israel and the eligible MENA partners is required for proposals receiving funding under the MERC Program. Participation of partners from outside the MENA, including the United States, is not a key feature of the MERC Program, but they may be considered for modest roles in exceptional cases to meet an essential technical need that is not otherwise available among the partners. Applicants must be prepared to provide a well justified case for the involvement of partners from outside the MENA and accept that MERC may not support their participation.The MERC program funds peer-reviewed, collaborative, applied scientific research and technical exchanges between Israeli partners and the eligible MENA partners. As part of this Notice of Funding Opportunity, MERC is seeking to fund proposals in the following categories:Applied research grants: Multi-year, cooperative research projectsContinuation grants: Extension of existing or recently ended applied research grantsTravel and workshop grants: Support for workshops, meetings, and researcher exchange</t>
  </si>
  <si>
    <t>Generation III+ Small Modular Reactor Pathway to Deployment</t>
  </si>
  <si>
    <t>Others (see text field entitled "Additional Information on Eligibility" for clarification) See NOFO for Eligibility Requirements</t>
  </si>
  <si>
    <t>Nuclear energy is the nationâ€™s largest source of carbon-free power, and it provided 48 percent of Americaâ€™s carbon-free electricity in 2023. The nuclear industry today is building new commercialization momentum as utilities and other potential customers see the successful operation of Vogtle Units 3 and 4, anticipate sustained load growth, and begin to take advantage of tax credits and other financial support made available by the Inflation Reduction Act. Utilities are seeking and receiving Nuclear Regulatory Commission (NRC) licensees to extend reactor operations to 80 years, planning to uprate reactor capacity, reversing plans to close reactors, and restarting formerly shuttered reactors. However, the industry must still overcome barriers to achieve commercial liftoff by securing committed investments in an orderbook of new nuclear projects and standing up the industrial base needed for fleet-level deployment.</t>
  </si>
  <si>
    <t>Genomics - Enabled Understanding and Advancing Knowledge on Plant Gene Function(s)</t>
  </si>
  <si>
    <t>Others (see text field entitled "Additional Information on Eligibility" for clarification) All types of domestic applicants are eligible to apply, except nonprofit organizations described in section 501(c)(4) of the Internal Revenue Code of 1986 that engaged in lobbying activities after December 31, 1995.1.	DOE/NNSA National LaboratoriesDOE/NNSA National Laboratories are not eligible to submit applications under this NOFO but may be proposed as subrecipients under another organization s application. If recommended for funding as a proposed subrecipient, the value of the proposed subaward will be removed from the prime applicant s award and will be provided to the laboratory through the DOE Field-Work Proposal System and work will be conducted under the laboratory s contract with DOE. No administrative provisions of this NOFO will apply to the laboratory or any laboratory subcontractor. Additional instructions for securing authorization from the cognizant Contracting Officer are found in Section IX of this NOFO.2. Non-DOE/NNSA FFRDCsNon-DOE/NNSA FFRDCs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to the FFRDC s sponsoring Federal Agency. Additional instructions for securing authorization from the cognizant Contracting Officer are found in Section IX of this NOFO.3. Other Federal AgenciesOther Federal Agencies are not eligible to submit applications under this NOFO but may be proposed as subrecipients under another organization s application. If recommended for funding as a proposed subrecipient, the value of the proposed subaward may be removed from the prime applicant s award and may be provided through an interagency agreement. Additional instructions for providing statutory authorization are found in Section IX of this NOFO.</t>
  </si>
  <si>
    <t xml:space="preserve">The DOE SC program in Biological and Environmental Research (BER) hereby announces its interest in receiving applications for research within the Biological Systems Science Divisionâ€™s (BSSD) Genomic Science Program (GSP) (http://genomicscience.energy.gov) mission-space. This NOFO solicits applications for â€œGenomics - Enabled Understanding and Advancing Knowledge on Plant Gene Function(s)â€ to effectively design bioenergy crops by developing approaches to: a) understand regulatory elements, biological mechanisms and develop predictive models for dissecting multigene traits and their component parts that govern plant growth under different growing conditions, biochemical and signaling pathways; b) understand genetic components and molecular mechanisms underlying plant regeneration/organogenesis in tissue culture to improve heterologous DNA transfer to germlines of bioenergy crops; and c) understand genetic and molecular mechanisms that will reduce the cycle time for out-crossing energy crops (e.g. self-incompatibility) to speed development of new plant feedstocks underpinning a more broader and more competitive U.S. bioeconomy. </t>
  </si>
  <si>
    <t>Ending the Epidemic: New Models of Integrated HIV/AIDS, Addiction, and Primary Care Services (R34 Clinical Trial Optional)</t>
  </si>
  <si>
    <t>The purpose of this NOFO is to support the testing of enhanced models of care that optimally integrate HIV, addiction, and primary care services.</t>
  </si>
  <si>
    <t>Ending the Epidemic: New Models of Integrated HIV/AIDS, Addiction, and Primary Care Services (R01 Clinical Trial required)</t>
  </si>
  <si>
    <t>County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</si>
  <si>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New Therapeutic Strategies for Genital Herpes (R21/R33 Clinical Trial Not Allowed)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</si>
  <si>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</si>
  <si>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notice of funding opportunity (NOFO) is to stimulate the development of new treatments for genital herpes that suppress shedding and lesion formation and reduce transmission. This NOFO invites applications that propose research into a broad range of therapeutic approaches, including but not limited to development of new or improved antivirals, monoclonal antibodies, therapeutic vaccines, and gene editing technologies for treatment of patients living with genital herpes. 
This NOFO will use a milestone-driven, biphasic award mechanism. Transition to the second phase is not guaranteed and will depend on the successful completion of milestones.</t>
  </si>
  <si>
    <t>ROSES 2024: D.21 U.S. Contributions to Ariel Preparatory Science</t>
  </si>
  <si>
    <t xml:space="preserve">PLEASE NOTE: this program has MANDATORY Notices of Intent, which are due via NSPIRES by December 12,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</si>
  <si>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Human Brain Single-cell Genomics Explorer (U24 - Clinical Trial Not Allowed)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</si>
  <si>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</si>
  <si>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NIH Blueprint for neuroscience is soliciting applications to pilot the establishment of an integrated resource for users to explore, analyze and download processed deidentified human brain single-cell transcriptomics and epigenomics data that is harmonized across reference and disease datasets. The resource will generate a unified cell type taxonomy, provide users with a draft annotatable cell-type nomenclature, and the ability to map community generated single cell omics data to the taxonomy. This pilot will lay the groundwork for an expanded and sustained effort to increase utility and accessibility of human cell-type classification data across multiple NIH consortia. BD</t>
  </si>
  <si>
    <t>FY25 Minerva Research Initiative University Research Program</t>
  </si>
  <si>
    <t>Others (see text field entitled "Additional Information on Eligibility" for clarification) All responsible sources from academia, including DoD institutions of higher education and foreign universities, may submit applications under this NFO. Historically Black Colleges and Universities (HBCUs), Minority Institutions (MIs), and Tribal Colleges and Universities (TCUs) are encouraged to apply. No portion of this NFO, however, will be set aside for HBCU, MI, or TCU participation. Teams are encouraged and may submit proposals applications in any and all areas. Non-profit institutions and commercial entities may be included on a university-led team as subawardees only, receiving funding for their efforts accordingly. Federally Funded Research   Development Centers (FFRDCs), including Department of Energy National Laboratories, are not eligible to receive awards under this NFO. However, teaming arrangements between FFRDCs and eligible principal applicants are allowed provided they are permitted under the sponsoring agreement between the Government and the specific FFRDC.</t>
  </si>
  <si>
    <t>Short Description of Funding Opportunity (See the Related Documents tab for complete funding opportunity information)Minervaâ€™s University Research program aims to support innovative basic research projects that contribute to the advancement of social science and provides new methods and understandings on social and behavioral questions of security and defense-related interest.BackgroundMinerva aims to improve DoDâ€™s basic understanding of the social, cultural, behavioral, and political forces that shape regions of the world of strategic importance to the U.S. The research program seeks to:Leverage and focus the resources of the Nation's top universities;Define and develop foundational knowledge about sources of present and future conflict with an eye toward better understanding of the political trajectories of key regions of the world; andImprove the ability of DoD to develop cutting-edge social science research and foreign area and interdisciplinary studies that is developed and vetted by the best scholars in these fields.Minerva brings together universities, research institutions, and individual scholars and supports interdisciplinary and cross-institutional projects addressing specific topic areas determined by the Office of the Secretary of Defense.Program Description/ObjectiveThe Minerva Research Initiative (Minerva) emphasizes questions of strategic importance to U.S. national security policy. It seeks to increase the Departmentâ€™s intellectual capital in the social sciences and improve its ability to address future challenges and build bridges between the Department and the social science community. Minerva brings together universities and other research institutions around the world and supports multidisciplinary and cross-institutional projects addressing specific interest areas determined by the Department of Defense. The Minerva program aims to promote research in specific areas of social science and to promote a candid and constructive relationship between DoD and the social science academic community. The Minerva Research Initiative competition is for research related to six (6) topics listed below. Innovative white papers and applications related to these research areas are highly encouraged. Detailed descriptions of the interest areasâ€”which are intended to provide a frame of reference and are not meant to be restrictiveâ€”can be found in Appendix B: Minerva Research Topics of Interest.Topic 1: Societal Cohesion and ConflictTopic 2: Advancing Influence Measurement(s)Topic 3: Arctic at the Polar CrossroadsTopic 4: Cultural Resilience, Climate, and Human Security in OceaniaTopic 5: Social Impact of Technological ChangeTopic 6: Deterrence and Competition across Military and Civilian SpheresNB: Each proposal should be submitted to only one topic area, even if there is overlap with another topic area.Proposals will be considered both for single-investigator awards as well as larger teams. A team of university investigators may be warranted because the necessary expertise in addressing the multiple facets of the interest areas may reside in different universities, or in different departments of the same university. The research questions addressed should extend across a broad range of linked issues where there is clear potential synergy among the contributions of the distinct disciplines represented on the team. Team proposals must name only one Principal Investigator as the responsible technical point of contact. Similarly, one institution will be the primary recipient for the purpose of award execution. The relationship among participating institutions and their respective roles, as well as the apportionment of funds including sub-awards, if any, must be described in both the proposal text and the budget. As well, the basic research contribution of the project must be clearly described in the proposal text.The Minerva Research Initiative is a multi-service effort. Ultimately, however, funding decisions will be made by OSD personnel, with technical inputs from the Services.See the Related Documents tab for complete funding opportunity information.</t>
  </si>
  <si>
    <t>Addressing Systems Challenges through Engineering Teams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</si>
  <si>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PIs or co-PIs must hold primary, full-time, paid appointments in research or teaching positions at US-based campuses/offices of IHEs eligible to submit to this solicitation (see above), with exceptions granted for family or medical leave, as determined by the submitting institution.
A minimum of three PIs or co-PIs must participate in each proposal. Each PI/co-PI is expected to contribute complementary expertise relevant to the project proposed. Investigators/Senior Personnel with expertise in fabrication, testing, or other sciences may be considered, where appropriate.
If there are strong collaborations with industry, the Grant Opportunities for Academic Liaison with Industry (GOALI) type of proposal can be used in conjunction with this solicitation. See PAPPG Chapter II.F.5 for additional information and guidance.</t>
  </si>
  <si>
    <t>The Electrical, Communications and Cyber Systems Division (ECCS) supports enabling and transformative engineering research at the nano, micro, and macro scales that fuels progress in engineering system applications with high societal impact. This includes fundamental engineering research underlying advanced devices and components and their seamless penetration in communications, sensing, power, controls, networking, or cyber systems. The research is envisioned to be empowered by cutting-edge computation, synthesis, evaluation, and analysis technologies and is to result in significant impact for a variety of application domains in healthcare, homeland security, disaster mitigation, telecommunications, energy, environment, transportation, manufacturing, and other systems-related areas. ECCS also supports new and emerging research areas encompassing 6G and Beyond Spectrum and Wireless Technologies, Quantum Information Science, Artificial Intelligence (AI), Machine Learning (ML), High-Performance Computing, and Big Data.
ECCS, through its ASCENT program, offers its engineering community the opportunity to address research issues and answer engineering challenges associated with complex systems and networks that are not achievable by a single principal investigator or by short-term projects and can only be achieved by interdisciplinary research teams. ECCS envisions a connected portfolio of transformative and integrative projects that create synergistic links by investigators across its three ECCS clusters: Communications, Circuits, and Sensing-Systems (CCSS), Electronics, Photonics and Magnetic Devices (EPMD), and Energy, Power, Control, and Networks (EPCN), yielding novel ways of addressing challenges of engineering systems and networks. ECCS seeks proposals that are bold and ground-breaking, transcend the perspectives and approaches typical of disciplinary research efforts, and lead to disruptive technologies and methods or enable significant improvement in quality of life.
ASCENT supports fundamental research projects involving at least three collaborating PIs and co-PIs, up to four years in duration, with a total budget between $1 million and $1.5 million.
ASCENT proposals must highlight the engineering leadership focus of the proposal within the scope of ECCS programs.
ASCENT proposals must articulate a fundamental research problem with compelling intellectual challenge and significant societal impact. The topic at the heart of the proposalmust involve research areas of at least two of the three ECCS clusters (CCSS, EPMD, EPCN). Research proposals spanning three clusters are highly encouraged.
ASCENT proposals must demonstrate the need for a concerted research effort by an integrated and interdisciplinary team, and strongly justify the interdisciplinary nature of the proposed work. They should include a timeline for research activities, with a strong justification of the explicit mechanisms for frequent communication between team members and effective assessment to achieve proposed goals.
Assuming sufficient funding is provided in the NSF budget, it is anticipated that the ASCENT competition will continue with research themes and priorities subject to changing in the subsequent years.</t>
  </si>
  <si>
    <t>NCI National Clinical Trials Network - Network Lead Academic Participating Sites (UG1 Clinical Trial Not Allowed)</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</si>
  <si>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</si>
  <si>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Through this Notice of Funding Opportunity (NOFO), the National Cancer Institute (NCI), solicits applications from institutions/organizations that propose to maintain or establish Network Lead Academic Participating Sites (LAPS) for the NCI National Clinical Trials Network (NCTN). The NCTN Network LAPS will provide scientific leadership by helping to develop and conduct clinical trials in association with one or more adult Network Groups and will contribute substantial accrual to clinical trials conducted across the entire NCTN.</t>
  </si>
  <si>
    <t>Groundwater and Streamflow Information Program, National Ground-Water Monitoring Network</t>
  </si>
  <si>
    <t>DOI-USGS1</t>
  </si>
  <si>
    <t>Geological Survey</t>
  </si>
  <si>
    <t>Others (see text field entitled "Additional Information on Eligibility" for clarification) Applicants can be state or local water-resource agencies which collect groundwater data.</t>
  </si>
  <si>
    <t>The Groundwater and Streamflow Information Program of the USGS is offering a cooperative agreement funding opportunity to state or local water-resources agencies that collect groundwater data to participate in the National Ground-Water Monitoring Network. The USGS is working to develop and administer the National Ground-Water Monitoring Network (NGWMN). This funding opportunity is to support data providers for the National Ground-Water Monitoring Network. Legal authority for this opportunity is provided under Public Law 111-11, Subtitle Fâ€”Secure Water: Section 9507 â€œWater Data Enhancement by the United States Geological Survey.â€ Funds will be used to support connecting new data providers to the Network and to support existing data providers to maintain persistent data service and to enhance the NGWMN. The funding available for this Program Announcement is expected to be up to $1,700,000 for Federal FY2024. This estimate does not bind the USGS to a specific number of awards or to the amount of any individual award. Congress has not yet authorized FY2025 funds for the National Ground-Water Monitoring Network, so awards cannot be made until this funding is appropriated. Work performance under these awards must be completed within the two-year cycle from the start date. The timing of funds availability and the signing of the award will determine the start date. Individual applications are restricted to a funding level of $150,000 for a one-year project or $300,000 for a two-year project. Funding for routine work under Objective 2A to maintain persistent data services is limited to $20,000 per year. However, agencies serving more than 500 sites can apply for up $40,000 per year for Objective 2A work. Substantial involvement of the USGS is anticipated to provide support to new data providers during the site selection and classification process and to establish web services that interact with the NGWMN Data Portal. USGS also will provide guidance to existing data providers on techniques for collection of site information, on well maintenance activities, and on well drilling to support development of the NGWMN. Therefore, these awards will be in the form of cooperative agreements. All projects must propose a start date between July 1, 2025 and September 30, 2025.</t>
  </si>
  <si>
    <t>Single Source: NCI National Clinical Trials Network - Network Radiotherapy and Imaging Core Services Center (U24 Clinical Trial Not Allowed)</t>
  </si>
  <si>
    <t>Others (see text field entitled "Additional Information on Eligibility" for clarification) Other Eligible Applicants include the following:
 Eligible Agencies of the Federal Government; Faith-based or Community-based Organizations; Indian/Native American Tribal Governments (Other than Federally Recognized); Regional Organizations; U.S. Territory or Possession; Non-domestic (non-U.S.) Entities (Foreign Organizations)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</si>
  <si>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to maintain a Network Radiotherapy and Imaging Core Services Center for the NCI National Clinical Trials Network (NCTN) that provides scientific and technical expertise for incorporating integrated quality assurance and image data management for applicable NCTN clinical trials that involve interventions with radiotherapy and/or imaging modalities. In addition, the Center will have the capacity to provide similar services for other approved NCI-supported clinical trials network programs (e.g., the NCI/DCTD early phase clinical trial network program and the NCI/DCP NCI Community Oncology Research Program).</t>
  </si>
  <si>
    <t>NCI National Clinical Trials Network - Network Group Integrated Translational Science Centers (UG1 Clinical Trial Not Allowed)</t>
  </si>
  <si>
    <t>Nonprofits having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</si>
  <si>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or establish Network Group Integrated Translational Science Centers for the NCI National Clinical Trials Network (NCTN). The NCTN Network Group Integrated Translational Science Centers will provide support for leadership and expertise to facilitate incorporating translational science into Network Group clinical trials, including the conduct of pilot projects to collect preliminary translational data (but not the conduct of a clinical trial as defined by NIH).</t>
  </si>
  <si>
    <t>Single Source: NCI National Clinical Trials Network - Canadian Collaborating Clinical Trials Network (U10 Clinical Trial Required)</t>
  </si>
  <si>
    <t>Public housing authorities/Indian housing authorities Other Eligible Applicants include the following:
 Eligible Agencies of the Federal Government; Faith-based or Community-based Organizations; Regional Organizations; Non-domestic (non-U.S.) Entities (Foreign Organizations) are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</si>
  <si>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a Canadian Collaborating Clinical Trials Network for the NCI National Clinical Trials Network (NCTN). The NCTN Canadian Collaborating Clinical Trials Network will be a full partner with the U.S. Network in the conduct of large-scale, multi-site clinical trials and help provide regulatory expertise/oversight for the conduct of NCTN trials in Canada.</t>
  </si>
  <si>
    <t>Limited Competition: NCI National Clinical Trials Network - Network Group Operations Centers (U10 Clinical Trial Required)</t>
  </si>
  <si>
    <t>Independent school districts Other Eligible Applicants include the following:
 Faith-based or Community-based Organizations; Indian/Native American Tribal Governments (Other than Federally Recognized); Regional Organizations; U.S. Territory or Possession; Non-domestic (non-U.S.) Entities (Foreign Organization) are not eligible to apply.
Non-domestic (non-U.S.) components of U.S. Organizations are not eligible to apply.
Foreign components, as defined in the NIH Grants Policy Statement, are allowed.</t>
  </si>
  <si>
    <t>Through this Notice of Funding Opportunity (NOFO), the National Cancer Institute (NCI) solicits applications from institutions/organizations that propose to maintain a Network Group Operations Center for the NCI National Clinical Trials Network (NCTN). The NCTN Network Group Operations Centers will provide scientific leadership for developing and implementing multi-disciplinary, multi-institutional trials in a range of cancer types and special populations with specific scientific strategy and goals.</t>
  </si>
  <si>
    <t>Limited Competition: NCI National Clinical Trials Network - Network Group Statistics and Data Management Centers (U10 Clinical Trial Required)</t>
  </si>
  <si>
    <t>Native American tribal organizations (other than Federally recognized tribal governments) Other Eligible Applicants include the following:
 Eligible Agencies of the Federal Government; Faith-based or Community-based Organizations; Regional Organizations; U.S. Territory or Possession; Non-domestic (non-U.S.) Entities (Foreign Organization) are not eligible to apply.
Non-domestic (non-U.S.) components of U.S. Organizations are not eligible to apply.</t>
  </si>
  <si>
    <t>Through this Notice of Funding Opportunity (NOFO), the National Cancer Institute (NCI), solicits applications from institutions/organizations that propose to maintain Network Group Statistics and Data Management Centers (SDMCs) for the NCI National Clinical Trials Network (NCTN). The NCTN Network SDMCs will provide statistical expertise for effective scientific design, conduct, and data management of clinical trials led by the associated NCTN Network Group Operations Center.</t>
  </si>
  <si>
    <t>Cultural Anthropology Program Senior Research Awards</t>
  </si>
  <si>
    <t>The primary objective of the Cultural Anthropology Program is to support fundamental, systematic anthropological research and training to increase understanding of the causes, consequences and complexities of human social and cultural variability. The Cultural Anthropology Program welcomes proposals from researchers in all sub-fields of cultural anthropology and research at any temporal or spatial scale. Methodologies and approaches employed may include ethnographic field research, surveys, remote sensing, the collection of bio-markers, experimental research inside or outside of laboratory settings, archival research, the analysis of materials collections and extant data bases, mathematical and computational modeling and other research tools as appropriate for the proposed research. The overarching research goals should be to produce empirically grounded findings that will be generalizable beyond particular case studies and contribute to building a more robust anthropological science of human society and culture.
The U.S. National Science Foundation's mandate is to support basic scientific research. Basic research in cultural anthropology means theory-generating and theory-testing research that creates new knowledge about human culture and society. Therefore, the Cultural Anthropology Program cannot support research that takes as its primary objective improved clinical practice, applied policy or other immediate application. Research that seeks to advance scientific cultural anthropological theories in a way that advances use-inspired objectives may be supported, but the theory-advancing objectives must be clearly at the center of the proposal. A proposal to use anthropological methods and approaches only to find solutions to social, medical or other problems without specifically proposing to make a theory-testing or theory-expanding contribution to anthropological science will be returned without review.</t>
  </si>
  <si>
    <t>2025 Regional Ecosystem Research (RER) Program: Understanding Species  Habitat Usage and Connectivity in and around Marine Protected Areas</t>
  </si>
  <si>
    <t>Others (see text field entitled "Additional Information on Eligibility" for clarification) Eligible applicants for Federal financial assistance in this competition are U.S. institutions of higher education, non-profits, state and local governments, tribal government entities, U.S. Territories, U.S. Affiliated Pacific Islands institutions, and for-profit organizations. Department of Commerce (DOC)/NOAA supports cultural and gender diversity and encourages women and minority individuals and groups to submit applications to its programs. In addition, DOC/NOAA is strongly committed to broadening the participation of Historically Black Colleges and Universities, Hispanic-serving institutions, Tribal colleges and universities, Alaskan Native and Native Hawaiian institutions, Asian American and Native Pacific Islander-serving institutions, and institutions that work in underserved areas. DOC/NOAA encourages applications involving any of the above institutions to apply.Please note that:1. PIs must be employees of an eligible entity listed above; and applications must be submitted through that entity. Non-Federal researchers should comply with their institutional requirements for application submission.2. Non-Federal researchers affiliated with NOAA-University Cooperative Institutes will be funded through cooperative agreements.3. Foreign researchers must apply as subawards or contracts through an eligible U.S. entity.4. Federal applicants are eligible to submit applications for intra- or inter-agency funds transfers through this competition. Non-NOAA Federal applicants will be required to submit certifications or documentation showing that they have specific legal authority to accept funds for this type of research.5. An eligible U.S. entity may propose Federal agency researchers as funded or unfunded collaborators. If Federal agency researchers are proposed as funded collaborators, the applicant should present the collaborator's funding request in the application in the same way documentation is provided for a subrecipient for purposes of project evaluation, even though intra- or inter-agency funding transfers will generally be used if the project is selected.6. NCCOS researchers may apply through an eligible U.S. entity as funded or unfunded collaborators, but cannot be the lead PI on the application. NOAA Federal salaries will not be paid.</t>
  </si>
  <si>
    <t>The purpose of this document is to advise the public that NOAA/NOS/National Centers for Coastal Ocean Science (NCCOS)/Competitive Research Program (CRP) [formerly Center for Sponsored Coastal Ocean Research (CSCOR)/Coastal Ocean Program (COP)], in partnership with NOAAâ€™s Office of National Marine Sanctuaries and National Marine Protected Areas Center, is soliciting proposals under the Regional Ecosystem Research Program for projects to understand speciesâ€™ habitat usage and connectivity in and around marine protected areas. This information will be used to improve the ability of resource managers to address habitat connectivity, speciesâ€™ habitat affinities, and spatial and temporal usage of habitats in management plans for marine protected areas. Funding is contingent upon the availability of Fiscal Year 2025 Federal appropriations. If funds become available for this program, two projects are expected to be supported for up to three to four years in duration, with an approximate annual budget for each project up to $500,000, not to exceed $2,000,000 per project. An informational webinar on this solicitation will be offered on October 22, 2024 from 3 to 4 p.m. Eastern Time. Information regarding this Announcement, including the webinar and additional background information, is available on the NCCOS Regional Ecosystem Research Program page (https://coastalscience.noaa.gov/crp/regional-ecosystem-research/). NOAA is committed to making equity central to its mission. This supports a vision in which the nationâ€™s people, economy, and ecosystems are thriving and supported by NOAAâ€™s equitable and actionable weather, water, and climate research and services. NOAA encourages applicants and awardees to support the principles of equity in science and service delivery when writing their proposals and performing their work. By promoting equity NOAA seeks to improve the creativity, productivity, and the vitality of its research community. Electronic Access: Proposals should be submitted through Grants.gov, http://www.grants.gov. Sign up to receive any potential amendments to this Announcement via http://www.grants.gov.</t>
  </si>
  <si>
    <t>HEAL Initiative: Understanding Individual Differences in Human Pain Conditions (R01 - Clinical Trial Optional)</t>
  </si>
  <si>
    <t>This notice of funding opportunity (NOFO) seeks to support research aimed at holistic understanding of inter-individual or between-person differences in human pain conditions, focusing  on Whole Person Health and enhancing pain treatment and management strategies towards personalized pain medicine. The goal of this NOFO is to support studies that focus on the collection of clinical and/or preclinical data to enable evidence-based modeling and understanding of inter-individual differences and/or heterogeneity of pain occurring with use of pain therapy/management, or with conditions such as a second pain condition, a comorbid health condition, a comorbid mental health condition, or conditions of use / misuse of opioids, alcohol or other substances. Applicants are encouraged to develop and implement novel, multidisciplinary research approaches, and include investigators with complementary expertise to fulfill the project and program goals. Input from patients and caregivers on the goals of the project is highly encouraged. Rigorous data-driven and evidence-based research approaches supported under this NOFO are expected to provide better understanding of biological and/or biopsychosocial underpinnings of inter-individual differences, heterogeneity, and stratification of persons with lived pain experience, which would accelerate the development of evidence-based solutions toward precision pain medicine.</t>
  </si>
  <si>
    <t>Partnerships for Aquatic and Watershed Restoration (PAWR)</t>
  </si>
  <si>
    <t>Others (see text field entitled "Additional Information on Eligibility" for clarification) Eligible responders include for profit; non-profits; institutions of higher education; federal, state, local, and Native American tribal governments; organizations and special purpose districts (public utility districts, fire districts, conservation districts, school districts, and ports).</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</si>
  <si>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looking to address aquatic and watershed restoration needs and empower local communities and partners to assist with implementation of activities. Partnerships will help to address restoration needs through projects that support watershed restoration to improve water quality, improve aquatic organism passage, or improve efficiencies for aquatic restoration activities on lands managed by USDA Forest Service. The agency seeks to actively involve both new and current partners in restoration efforts.
Your submission signals an opportunity for USDA Forest Service to explore with you your ideas/projects/programs and federal funding opportunities. USDA Forest Service is committed to fostering a strong, collaborative partnership that benefits local communities, improves watershed health and ecological integrity, and transportation infrastructure resilience. These collaborations are vital for accelerating watershed restoration, establishing shared priorities, expanding capacity, and ensuring climate resilient landscapes.
USDA Forest Service strives to sustainably manage the nationâ€™s watersheds, including rivers and their ecological integrity to provide myriad services to the American people on 193 million acres of forest, grasslands, and waterways. Through federal law and regulations, USDA Forest Service has major responsibilities for the publicâ€™s waterbodies, including protecting and restoring water quality, hydrologic and ecologic function, conserving aquatic biodiversity, and managing fish, wildlife, and plant habitats that depend on healthy and naturally functioning waterways, adjacent riparian areas, and uplands. 
USDA Forest Service accomplishes much of this work by initiating and developing partnerships with effective and dedicated partners, to achieve mutual goals in the science-based protection and watershed restoration that benefit aquatic habitat, native fish populations, water quality, ecological function, aquatic biodiversity, education, aquatic-based recreation, and climate change resilience.
 Please ensure that when you complete your forms for this proposal that you "Save As" and give your file a new name. DO NOT â€œPrint to PDFâ€. Once you have saved your forms under a new name, you will upload those forms into the attachment document.
</t>
  </si>
  <si>
    <t>Bioacoustics Monitoring for Wildlife Management</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</si>
  <si>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would like to increase capacity to monitor wildlife including potential response to management actions by engaging partnerships from local communities who have a vested interest in management outcomes. This OOI reflects efforts to increase representation, including from diverse and underserved backgrounds. Future partnerships will help to address monitoring needs, adaptive management, and USDA Forest Service ability to course correct as needed. Partnerships will foster co-stewardship between the USDA Forest Service through better representation of the communities we serve and reflect a shared commitment to wildlife conservation on USDA Forest Service lands. 
Your submission signals an opportunity for USDA Forest Service to explore with you your ideas/projects/programs and potential partnership opportunities. USDA Forest Service is committed to fostering a strong, collaborative partnership that benefits our fisheries, plants, and wildlife resources, and their habitats. Collaboration is vital for collecting monitoring data that will inform management and wildlife conservation.
The USDA Forest Service is tasked with maintaining ecological integrity to support diverse and viable wildlife species. One way this is achieved is through survey and monitoring, an important tool used in wildlife management and conservation. Robust information on species abundance, occupancy and habitat is an ongoing need for the agency. This need will only increase as the pace and scale of forest management actions (e.g., fuels reduction) accelerates under the Wildfire Crisis Strategy and related initiatives such as Joint Chiefsâ€™ Landscape Restoration Partnership and Collaborative Forest Landscape Restoration Program, among others. In addition to routine survey needs that document presence/absence and population trends, there is a growing need for effectiveness monitoring such as post-treatment assessments following restoration (or other) activities (e.g., recreation) across the country. Through adaptive management, monitoring data help guide and inform future management and also support and inform the agencyâ€™s Climate Adaptation Strategy and provisions of the 2012 planning rule.
Advances in acoustical monitoring using automated recordings units (ARUs) provide unprecedented opportunities for the USDA Forest Service and partners to survey and monitor at broad, spatial, temporal, and taxonomic scales through continuous recording of wildlife sounds. ARUs offer the potential to significantly increase staff capacity, coverage, and identification of a broad range of wildlife taxa including birds, bats, frogs, and more recently insects. This bioacoustics data can also complement other remotely based information such as vegetation structure/composition and climate across broad landscapes. Other benefits include minimizing safety risks associated with survey work in challenging terrain, season, or time of day (e.g., winter, night surveys). ARUs can be deployed during the day and programmed to record at night and can increase efficiency using standardized approaches over large areas.
Proposed project scope and ideas would help the USDA Forest Service meets its stewardship responsibilities for conserving both common and at-risk species. The project would engage community members and cultivate a vested interest in long term success and shared â€œownershipâ€ in final outcomes; provide opportunities for job training and using new technology, personal development, conservation service, and natural resource appreciation while cultivating the next generation of natural resource stewards.
 Please ensure that when you complete your forms for this proposal that you "Save As" and give your file a new name. DO NOT â€œPrint to PDFâ€. Once you have saved your forms under a new name, you will upload those forms into the attachment document.
</t>
  </si>
  <si>
    <t>Wildlife Habitat Fencing</t>
  </si>
  <si>
    <t>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would like to increase capacity to improve wildlife habitat through removal, modification and or addition of wildlife friendly fence by engaging partnerships from local communities who have a vested interest in management outcomes. This OOI seeks to increase their representation -including from diverse and underserved backgrounds. New partnerships will foster co-stewardship between the USDA Forest Service through better representation of the public the agency serves, and with a shared commitment to wildlife conservation on USDA Forest Service lands. 
Your submission signals an opportunity for USDA Forest Service to explore with you your ideas/projects/programs and potential partnership opportunities. USDA Forest Service is committed to fostering a strong, collaborative partnership that benefits our fisheries and wildlife resources, and their habitats. Collaborative efforts are vital to wildlife conservation.
Wildlife habitat improvement for terrestrial and aquatic species is a key focus area for the USDA Forest Service. One way this is accomplished is through the addition or removal of fences. Fences can be ecologically beneficial or detrimental depending on site specific conditions, design, project objectives, and affected species. For example, small scale exclosures may be designed to protect sensitive aquatic species or pollinator habitat from ungulate, recreational or other impacts, while removing old livestock fencing thatâ€™s no longer in use, can increase connectivity for wide ranging species. Fences that are improperly placed or poorly constructed without current wildlife friendly specifications in mind can also lead to fragmented wildlife populations and habitat, as well as direct mortality to species moving across the landscape. 
This project supports the USDA Forest Serviceâ€™s 2012 Planning Rule which emphasizes an â€œall landsâ€ approach to managing ecosystems that transcends land ownership boundaries. Cooperation and collaboration among the USDA Forest Service, other agencies, tribes, and private landowners can help to enhance wildlife connectivity and ecologically resilient habitat. It also supports the USDA Forest Serviceâ€™s National Roadmap for Responding to Climate Change and Secretarial Order 3362 â€œto improve habitat quality of big game migration corridors and winter range on lands administered by the Department of the Interior in the 11 western states.â€ The order is intended to improve collaboration with state fish and wildlife agencies and private landowners to identify, conserve, and restore priority winter range and migration corridors. Current workload for wildlife habitat related fencing projects exceeds capacity. The project would engage community members and cultivate a vested interest in long term success and shared ownership in final outcomes; provide opportunities for job training, personal development, conservation service, and natural resource appreciation while cultivating the next generation of natural resource stewards.</t>
  </si>
  <si>
    <t>Wildlife Habitat Enhancement</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</si>
  <si>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would like to increase capacity to improve wildlife habitat, including certain artificial structures, by engaging partnerships from local communities who have a vested interest in management outcomes. This OOI seeks to increase representation, including from diverse and underserved backgrounds. New partnerships will foster co-stewardship between the USDA Forest Service through better representation of the publics the agency serves, and with a shared commitment to wildlife conservation on USDA Forest Service and adjacent lands. 
Your submission signals an opportunity for USDA Forest Service to explore with you your ideas/projects/programs and potential partnership opportunities. USDA Forest Service is committed to fostering a strong, collaborative partnership that benefits our fisheries, plants, and wildlife resources, and their habitats. This collaboration is vital to wildlife conservation.
Increases in the frequency, intensity, and scale of natural disturbance such as wildfire, drought, and disease, along with habitat degradation from development and other human based activities continue to stress numerous wildlife species. Wildlife habitat enhancement projects that create artificial habitat structures (e.g., nest boxes, brush piles, supplemental water), mitigate erosion or revegetate important plants are one way the USDA Forest Service can supplement lost habitat for terrestrial and aquatic species. While not a replacement for natural wildlife habitat, these management actions have the potential to mitigate habitat loss and increase wildlife abundance or productivity.
This partnership would help the USDA Forest Service meets its stewardship responsibilities for at-risk species while also helping to keep common species common. Focal taxa could include both terrestrial and aquatic species; nongame and game species, and species that are socially and culturally important to the USDA Forest Service, its partners, tribes, and local communities. It would also support the agencies Wildfire Crisis, Reforestation and Climate Adaptation Strategies. The project would engage community members and cultivate a vested interest in long term success and shared ownership in final outcomes; provide opportunities for job training, personal development, conservation service, and natural resource appreciation while cultivating the next generation of natural resource stewards. Wildlife habitat enhancement projects generated through this partnership could also increase recreational opportunities such as birding, hunting, and nature viewing.
 Please ensure that when you complete your forms for this proposal that you "Save As" and give your file a new name. DO NOT â€œPrint to PDFâ€. Once you have saved your forms under a new name, you will upload those forms into the attachment document.
</t>
  </si>
  <si>
    <t>Revegetation with Native Plants</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</si>
  <si>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interested in potential partnerships to help collect, map, develop, monitor, and restore native plants, where needed. USDA Forest Service is also interested in engaging and educating community members, youth, veterans, tribes, students, underserved communities, and STEM (science, technology, engineering, and math) programs. Both partners would benefit through the sharing of knowledge, input to revegetation programs and priorities on national forest lands, and hands on knowledge identifying, handling, and processing native plant materials, and/or monitoring and documenting native plant revegetation success. Involvement in this work could also benefit others by encouraging long-term relationships with the land, highlighting the importance of native plants in our environment. 
Your submission signals an opportunity for USDA Forest Service to explore with you your ideas/projects/programs and federal funding opportunities. USDA Forest Service is committed to fostering a strong, collaborative partnership that benefits native plant communities and restoration projects using locally adapted native plant seeds and propagules. These collaborations are vital for understanding revegetation and restoration needs, establishing shared priorities, expanding capacity, and ensuring the growth of resilient and healthy forests with native plants. By working together, all stakeholders can maximize the impact of native plant revegetation and restoration efforts on national forests.
The native plants needed to restore land impacted by wildfire, drought, and invasive plants, are in short supply. USDA Forest Service is reaching out to partners interested in working together to develop native plant materials and to monitor their success in revegetation and restoration projects. Units are identifying lists of priority plant species best suited for native plant materials development, considering resource needs, future demand, and past propagation and establishment success. Once identified as a priority, native plant materials, primarily seed sources from wildland populations, are identified and mapped, and seed is collected when the seed is at peak viability. Native seed is then, cleaned and tested, and stored, to eventually be combined and increased in production fields. The genetically diverse plant materials can then be used to meet not only the needs of the national forests, but also to create a sustained market for native plant materials across all lands.
USDA Forest Service is interested in partnerships to help collect, map, develop, monitor, and restore native plants, where needed. USDA Forest Service is also interested in engaging and educating community members, youth, veterans, tribes, students, underserved communities, and STEM (science, technology, engineering, and math) programs. Both partners would benefit through the sharing of knowledge, input to revegetation programs and priorities on national forest lands, and hands on knowledge identifying, handling, and processing native plant materials, and/or monitoring and documenting native plant revegetation success. Involvement in this work could also benefit others by encouraging long-term relationships with the land, highlighting the importance of native plants in our environment. 
The current Bipartisan Infrastructure Legislation (BIL) has dedicated funding to the development and improvement of revegetation programs including the development of reserves of native herbaceous, shrub, and select tree species for future use. This funding provides the financial opportunity to develop partnerships for revegetation and native plant material programs on every forest across the country, and through several executive orders, encourages outreach to tribes and Justice 40 communities.
 Please ensure that when you complete your forms for this proposal that you "Save As" and give your file a new name. DO NOT â€œPrint to PDFâ€. Once you have saved your forms under a new name, you will upload those forms into the attachment document.
</t>
  </si>
  <si>
    <t>At-Risk Plants and Pollinators and their Ecological Conditions</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</si>
  <si>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looking to continue being the leader in natural resource conservation by delivering the best science and land management strategies to sustain the Nationâ€™s â€œat-risk plant speciesâ€ during the forest plan revision process and implementation of land and resource management plans. The agency is looking to ensure suitable ecosystems are sustained by restoration or maintaining species diversity and ecological productivity of at-risk plant species populations. This initiative aims to foster new partnerships with botanical organizations, researchers, and educational institutions who have a shared interest in at-risk plant species conservation for current and future generations.
Your submission signals an opportunity for USDA Forest Service to explore with you your ideas/projects/programs and federal funding opportunities. USDA Forest Service is committed to fostering a strong, collaborative partnership that benefits at-risk plant species populations and their habitats. Our collaborations are vital for understanding necessary potential habitat, conservation measures, and survey/monitoring techniques throughout the land management process. By working together, all stakeholders can maximize our knowledge and conservation of at-risk plant species during land management efforts on national forests and grasslands.
This project addresses inventory and monitoring needs for â€œat riskâ€ species of plants and pollinators, and the ecological conditions needed to support them. USDA Forest Service is required to maintain the diversity of plant and animal communities and the persistence of native species in the plan area. Rare plant species typically receive a special designation, either as a federally listed threatened or endangered species, which are designated by the U.S. Fish and Wildlife Service, as a Regional Forester designated sensitive species (RFSS), or as a Species of Conservation Concern (SCC). These are collectively known as â€˜at-riskâ€ species. There may also be other plant species or plant and animal communities of special interest to tribes, states, or other stakeholders. 
Activities associated with this project could include the direct inventory, monitoring, and mapping of populations of risk plants or non-native invasive plant species, using global positioning systems (where possible). Activities could also include conducting literature reviews, field trips with knowledgeable individuals, training field crews on field surveys and assessments, or synthesis of available information on distribution, rarity, and ecological requirements of select at-risk plant species or pollinator species, working across boundaries with tribes, states, or other entities.
 Please ensure that when you complete your forms for this proposal that you "Save As" and give your file a new name. DO NOT â€œPrint to PDFâ€. Once you have saved your forms under a new name, you will upload those forms into the attachment document.
 </t>
  </si>
  <si>
    <t>Grassland Ecological Potential and Restoration Effectiveness Evaluation</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</si>
  <si>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looking to enhance knowledge about grassland communities, their ecological potential and improve understanding of restoration approaches and their effectiveness. This initiative aims to explore partnerships focused on grassland ecosystems while increasing awareness of their importance. New partnerships can help leverage existing ecological classification systems (e.g., ecological sites, disturbance response groups, etc.) and monitoring methodologies to develop streamlined approaches that can be used to:
Â· determine ecological potential across the national grasslands. 
Â· determine grassland resiliency and restoration effectiveness.
Your submission signals an opportunity for USDA Forest Service to connect with you to explore your ideas/projects/programs and how they may align with federal funding opportunities. USDA Forest Service is committed to fostering strong, collaborative partnerships. These collaborations are vital for increasing understanding of the ecological potential across the national grasslands, national tallgrass prairie and associated restoration needs/opportunities, expanding capacity, and ensuring resilient and healthy grassland ecosystems. By working together, all stakeholders can maximize the impact of restoration efforts on the national grasslands and national tallgrass prairie.
Grasslands provide a myriad of benefits ranging from wildlife habitat and open space to climate regulation services, yet they are considered one of the most endangered ecosystems in the world. The loss of these ecosystems has broad impacts including marked declines in the native plants and animals that depend on them as well as the people and communities that rely on them for their work and enjoyment. There are several factors that have impacted the health of grassland ecosystems. Some contemporary ecological stressors include invasive and non-native species, woody plant encroachment, and climate change. Some historic ecological stressors include cultivation, disruption of natural disturbance processes, and development.
The National Forest System includes approximately 3.8 million acres of National Grasslands and National Tallgrass Prairie. Numerous vegetation management and restoration efforts have been undertaken. Knowledge of ecological potential is varied and information relative to restoration success and factors influencing success is lacking. USDA Forest Service is seeking partners interested in assisting with leveraging existing ecological classification systems (e.g., ecological sites, disturbance response groups, etc.), and monitoring approaches to:
Â· determine ecological potential across the National Grasslands.
Â· determine grassland resiliency and restoration effectiveness.
The intent of this work is to inform future prioritization of areas for restoration as well restoration approaches that might be used. This could ultimately enable USDA Forest Service to make informed decisions on how to maximize the conservation return on investments. Additional opportunities may include correlating restoration effectiveness with associated benefits (e.g., habitat improvement, grassland bird population stabilization/improvements, enhanced opportunities for carbon sequestration, improve pollinator habitat and numbers, etc.).
 Please ensure that when you complete your forms for this proposal that you "Save As" and give your file a new name. DO NOT â€œPrint to PDFâ€. Once you have saved your forms under a new name, you will upload those forms into the attachment document.
</t>
  </si>
  <si>
    <t>Heritage Interpretive Assistance</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</si>
  <si>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looking seeking assistance in the interpretation and education of our Nationâ€™s history, especially perspectives from communities that have been historically marginalized or underserved. This includes but is not limited to Indigenous persons perspectives, as well as presenting our agencyâ€™s history of natural resource management. This initiative aims to foster co-stewardship between USDA Forest Service and educational, interpretive and history focused partners to assist the agency to interpret and educate the public on natural and cultural resources issues associated with 193 million acres of lands managed by the agency. The USDA Forest Service works with other land management agencies, local communities, interested publics, and Tribes to ensure agency actions address cultural sensitivities and priorities. 
Your submission signals an opportunity for USDA Forest Service to explore with you your ideas/projects/programs and federal funding opportunities. USDA Forest Service is committed to fostering a strong, collaborative partnership that benefits heritage resources and improves cooperation and consultation with State Historic Preservation Offices, Tribal Governments, and the public. These collaborations are vital for not only the preservation and management of cultural resources, but also assist in helping the agency manage healthy forests through the incorporation of traditional and historical knowledge into modern management decisions.
USDA Forest Service seeks to actively involve potential partner programs in heritage program efforts by providing support and guidance to program participants, sharing successful working models, and assisting with agreements that include helping the agency promote historic preservation, cultural awareness, and advancing the heritage program. 
The USDA Forest Service manages 36.6 million acres of wilderness, 158,000 miles of trails, 4,300 campgrounds, 9 national monuments and one national historic site. Many of these resources contain information kiosks, interpretive displays or other information sharing hubs to the public to provide for their safety, enhance their enjoyment and use of the environment and to provide a historical perspective of the area. Interpretive materials are dated, in disrepair or incomplete. Opportunities for partnership participation include the development of text and artwork in collaboration with the USDA Forest Service and its consultants and develop materials that adhere to current agency priorities, accurate historical perspectives, and overall goals.
Nationwide, the workload for heritage program activities exceeds capacity. Partnerships benefit the agency by increasing capacity. In addition, they can enhance engagement with community members and help cultivate a vested interest in long term success and shared â€œownershipâ€ in final outcomes. They can provide opportunities for job training, personal development, conservation service, and natural and cultural resource appreciation while cultivating the next generation of natural resource stewards.
 Please ensure that when you complete your forms for this proposal that you "Save As" and give your file a new name. DO NOT â€œPrint to PDFâ€. Once you have saved your forms under a new name, you will upload those forms into the attachment document.
 </t>
  </si>
  <si>
    <t>Heritage Site Protection</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</si>
  <si>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USDA Forest Service is looking seeking assistance in the protection and management of significant cultural resources on public lands through its Heritage Program. This initiative aims to foster co-stewardship between USDA Forest Service, and historic preservation focused partners to assist the agency to manage, preserve and share our history for public enjoyment and professional use. The agency works with other land management agencies, local communities, interested publics, and Tribes to ensure agency actions address cultural sensitivities and priorities. 
Your submission signals an opportunity for USDA Forest Service to explore with you your ideas/projects/programs and federal funding opportunities. USDA Forest Service is committed to fostering a strong, collaborative partnership that benefits heritage resources and improves cooperation and consultation with State Historic Preservation Offices, Tribal Governments, and the public. These collaborations are vital for not only the preservation and management of cultural resources, but also assist in helping the agency manage healthy forests through the incorporation of traditional and historical knowledge into modern management decisions.
USDA Forest Service seeks to actively involve potential partner programs in heritage program efforts by providing support and guidance to program participants, sharing successful working models, and assisting with agreements that include help the agency promote historic preservation, cultural awareness and advancing the heritage program. 
The USDA Forest Service manages 277,000 known heritage sites, with hundreds more documented each year. To adequately identify, evaluate, maintain, preserve, and protect these sites, the agency hires professional specialists responsible for the oversight and upkeep of these sites. Opportunities for partnership participation include the documentation, evaluation, recording and rehabilitation of these sites using both non-USDA Forest Service professional specialists, and through assistance from the public (non-professional).
Nationwide, the workload for heritage program activities exceeds capacity. Partnerships benefit the agency by increasing capacity, engaging community members and cultivating a vested interest in long term success and shared â€œownershipâ€ in final outcomes. They also provide opportunities for job training, personal development, conservation service, and natural and cultural resource appreciation while cultivating the next generation of natural resource stewards.
 Please ensure that when you complete your forms for this proposal that you "Save As" and give your file a new name. DO NOT â€œPrint to PDFâ€. Once you have saved your forms under a new name, you will upload those forms into the attachment document.
</t>
  </si>
  <si>
    <t>Partnership to Reach and Engage Underrepresented Audiences in a   Outdoor Recreation Effort</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</si>
  <si>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This OOI aims to reach partners and explore partnerships with entities previously overlooked or underrepresented in visitor and recreation program implementation and design on national forest lands. We are looking to our partners to help us in our development process, locally, regionally, and nationally to reach visitor and outdoor recreation audiences not currently representative more effectively of our national demographics. This can include helping the agency at the inception of project (tangible and intangible) design identify justice-oriented funding criteria, objective evaluation, and robust community engagement for recreation and visitor related efforts.
Americans are finding connections to national forests and grasslands in greater numbers than ever before. Visitation to national forests and grasslands in 2020 surged to a record-breaking 168 million visits, more visitors than at any other time in the history of the U.S. Department of Agriculture, Forest Service (USDA Forest Service 2021). During the pandemic, visitors came to safely recreate, be restored, and create new memories. That surge also brought clarity to the USDA Forest Service as to where we need to improve delivery of affordable, safe access to outdoor recreation. We also know that not all visitors feel welcome or connected to the great outdoors. Our national forests and grasslands belong to all Americans, and our goal is to show that national forests and grasslands are open to anyone from any background or ability.
Outdoor recreation on national forests and grasslands continues to be one of our best opportunities to make connections, build relationships, and foster long-term care and stewardship of our natural resources. Our public lands can also be a source of healing, inspiration, and purpose to bridge some of the divides and challenges our country has faced over the past few years.
 Please ensure that when you complete your forms for this proposal that you "Save As" and give your file a new name. DO NOT â€œPrint to PDFâ€. Once you have saved your forms under a new name, you will upload those forms into the attachment document.
</t>
  </si>
  <si>
    <t>Recreation Sites and Visitor Services: Creating Quality Recreation Experiences</t>
  </si>
  <si>
    <t xml:space="preserve">For information on how to apply, please see the attached 'Outreach of Interest Template Instructions' document.
This Outreach of Interest (OOI) functions as an outreach mechanism to cultivate relationships and connect with potential partners. This OOI is intended to solicit responses to explore future projects meeting the needs and interests of potential partners through partnership agreements within legislative authority with USDA Forest Service. This OOI seeks to foster a shared commitment to quality recreation experiences on National Forest System lands. New partnerships will help add capacity in support of a growing interest in outdoor recreation. 
Your submission signals an opportunity for USDA Forest Service to explore with your ideas for projects or programs and federal funding opportunities. USDA Forest Service is committed to fostering a strong, collaborative partnership that benefits those who recreate on National Forest System lands. These collaborations are vital for creating quality recreation opportunities and well-maintained recreation infrastructure. By working together, we can serve the public and add capacity for maintaining developed and dispersed recreation sites on national forests and grasslands.
Recreation is one of the primary ways the public uses and experiences our national forests and grasslands. From family picnics at day-use sites to remote backcountry hunting trips, there are a myriad of ways people recreate on National Forest System lands. USDA Forest Service provides 160,000 miles of trails, 10,000 developed recreation sites, and nearly 196 million acres of forests and grasslands to explore. USDA Forest Service works to develop, maintain, and update recreation infrastructure to improve user experiences and to provide diverse recreation opportunities for a variety of users. We build new infrastructure, maintain what we have, interact with the visiting public, and provide daily services to certain recreation sites. The public visited national forest and grassland sites over 200 million times between 2017 and 2021. Recreation use of our national forests and grasslands has increased over time, creating challenges to the agency and our existing partners to keep up with infrastructure needs and provide outstanding visitor experiences.
Partnerships help USDA Forest Service meet its stewardship responsibilities for recreation infrastructure and to the recreating public. Such projects serve to engage local community members and cultivate a vested interest in long term success and â€œownershipâ€ in final outcomes; provide opportunities for job training, personal development, conservation service, and natural resource appreciation; and cultivate the next generation of natural resource stewards and recreation specialists. Potential projects generated through this partnership could improve infrastructure resiliency to weather events; or improve access to public lands for activities such as hunting, fishing, and wildlife viewing and increase recreation capacity; and/or improve visitor safety and the quality of visitor experiences.
 Please ensure that when you complete your forms for this proposal that you "Save As" and give your file a new name. DO NOT â€œPrint to PDFâ€. Once you have saved your forms under a new name, you will upload those forms into the attachment document.
 </t>
  </si>
  <si>
    <t>Building Synthetic Microbial Communities for Biology, Mitigating Climate Change, Sustainability and Biotechnology</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</si>
  <si>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</si>
  <si>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Microbes and communities of microbes have remarkable diversity, allowing them to flourish in environments all over the planet and in a variety of substrates and hosts. Given their relative importance to ecosystems around the world, to the economy and to health, researchers have studied microbial systems extensively and have a better understanding of their capabilities and impacts on hosts and the environment. In recent years, researchers have turned to synthetic microbial communities, which are less complex and better defined than natural systems and used them to address fundamental biological questions as well as a range of societal problems.
This solicitation seeks projects that use a model synthetic microbial community to better understand the formation, maintenance or functionality of natural communities and to understand a natural community s impact on the host, when applicable. This solicitation also seeks projects that create synthetic communities with novel capabilities and aim to understand the biological underpinnings for these novel capabilities. Projects that address fundamental biological principles at any scale, from the molecular to the ecosystem scale, are welcome. Ultimately, this solicitation aims to build a comprehensive biological knowledge base that scientists can use to rationally design synthetic microbial communities with novel applications in climate resiliency, sustainability, biotechnology, and biomanufacturing.</t>
  </si>
  <si>
    <t>Awards for Faculty Institutional Support   HBCUs and TCUs</t>
  </si>
  <si>
    <t>Private institutions of higher education See C.3 in the Notice of Funding Opportunity for additional eligibility requirements.</t>
  </si>
  <si>
    <t>This limited competition supports institutions that have one or more faculty or staff member(s) who have been awarded an NEH Awards for Faculty at Historically Black Colleges and Universities (HBCU) or an NEH Awards for Faculty at Tribal Colleges and Universities (TCU) fellowship in federal fiscal year 2025.
This program strengthens the capacity of HBCUs and TCUs to support humanities research on their campuses through funding for replacement instructors. NEH will provide funding at a fixed rate of $2,500 per month (full-time equivalent), up to $30,000. The fixed rate is pro-rated to correspond to the Awards for Faculty fellowâ€™s NEH period of performance and regular institutional load.</t>
  </si>
  <si>
    <t>Development of Alternative Human Models of Radiation-Induced Injuries (Extracorporeal Systems) (U01 Clinical Trial Not Allowed)</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</si>
  <si>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</si>
  <si>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The purpose of this Notice of Funding Opportunity (NOFO) is to support early to mid-stage research focused on development of alternative human models of acute and/or delayed radiation-induced injuries (extracorporeal systems) to elucidate mechanisms of injury and to test medical countermeasures to treat and/or mitigate these injuries.</t>
  </si>
  <si>
    <t>Department of Army Energetics Basic Research Center (EBRC) Fiscal Year 2025</t>
  </si>
  <si>
    <t>DOD-AMC</t>
  </si>
  <si>
    <t>Dept of the Army -- Materiel Command</t>
  </si>
  <si>
    <t>Others (see text field entitled "Additional Information on Eligibility" for clarification) Eligible applicants under this BAA include institutions of higher education, nonprofit organizations, state and local governments, and for-profit organizations (i.e. large and small businesses) in the United States or its territories. Whitepapers and proposals will be evaluated only if they are for fundamental scientific study and experimentation directed toward advancing the scientific state of the art or increasing basic knowledge and understanding. Whitepapers and proposals focused on specific devices or components are beyond the scope of this BAA. More than one whitepaper and/or proposal is allowable from any single institution or organization.Pursuant to the policy of FAR 35.017 and supplements, selected Federally Funded Research and Development Centers (FFRDC) may propose under this BAA as allowed by their sponsoring agency and in accordance with their sponsoring agency policy.</t>
  </si>
  <si>
    <t>The Energetics Basic Research Center (EBRC) is a basic research program initiated by the Combat Capabilities Development Command/Army Research Laboratory/Army Research Office. It focuses on areas of strategic importance to U.S. national security. It seeks to increase the Army's intellectual capital in energetic materials (EM) and improve its ability to address future challenges. The EBRC brings together universities, research institutions, companies, and individual scholars and supports multidisciplinary and cross-institutional projects addressing specific topic areas determined by the Department of the Army (DA). The EBRC aims to promote research in specific areas of EMs and to promote a candid and constructive relationship between DA and the energetics research community. The future Army is projected to be unable to achieve dominance in range and lethality due to inadequate energetic formulations and form factor limitations associated with current weapon systems. Basic research generates new knowledge that may be exploited to develop and deliver new materials and technologies that contribute to enhanced lethal effects at the system level as well as increased range and a smaller payload. These, in turn, enable space for larger, mission-critical systems, and shorter time-to-target ensuring Army battlefield dominance in Multi-Domain Operations. Army research must encompass new ways to expedite the discovery, design, and scale-up of new materials and concepts which when integrated into newly designed weapons components (e.g. additively manufactured high strength steels with pre-formed fragmentation patterns, and structural reactive materials) developed at ARL and across the Army and DoD communities, will deliver decisive weapons overmatch.</t>
  </si>
  <si>
    <t>Carderock BAA</t>
  </si>
  <si>
    <t>DOD-ONR-SEA-NSWFCRD</t>
  </si>
  <si>
    <t>Naval Surface Warfare Center - Carderock</t>
  </si>
  <si>
    <t xml:space="preserve">âˆ’ Digital Ecosystems:â€¢ High speed, intelligent, data-driven decision making for complex operationsâ€¢ Data discovery, information and knowledge managementâ€¢ Rapid adaptable policy and enforcement for digital environments Computational hydrodynamic toolsâ€¢ Seakeeping and loads in extreme seasâ€¢ Maneuvering and controlâ€¢ Maneuvering in wavesâ€¢ Hull-propulsor interactionâ€¢ Hydrodynamic modeling of operations: in an ice slurry; multi-body interactions; propulsor hull system optimization; appendage characterization and scaling; near-surface and near-shore maneuvering and control modeling development Naval Platform Integrity:â€¢ Naval metals and alloys; polymers and rubbers; structural composites; corrosion resistant materials; and/or high-temperature ceramicsâ€¢ Additive Manufacturing and the relationship between processing, microstructure and materials properties, including M Structural assessment and monitoringâ€¢ Shock and Vulnerabilityâ€¢ Non-destructive testing and/or inspectionâ€¢ Ship environmental treatment systems, management, and safetyâ€¢ Bio-fouling and bio-fouling hydrodynamic effectsâ€¢ Battery development and safetyâ€¢ Alternative energy and power sources Ship. Boat, and Submarine Design:â€¢ Ship/Boat/Submarine design toolsâ€¢ Ship/Boat/Submarine design processes and methodsâ€¢ Design evaluation/assessment capabilitiesâ€¢ New and non-traditional platformsâ€¢ Novel ship/boat/submarine designs and missions Signature Management: Underwater and topside signaturesâ€¢ Mobile sensors Unmanned Systems:â€¢ Low cost perception and situational awareness systemsâ€¢ Autonomy and AI/ML decision making and computationsâ€¢ Swarming capabilities Other technology areas will be evaluated on a case-by-case basis. </t>
  </si>
  <si>
    <t>Coastal Zone Management Projects of Special Merit Competition - FY2025</t>
  </si>
  <si>
    <t>Others (see text field entitled "Additional Information on Eligibility" for clarification) To be eligible to apply or receive an award, applicant organizations must complete and maintain three registrations; SAM.gov, Grants.gov, and eRA Commons. For each, the complete registration process can take 4 to 6 weeks, so applicants must begin this activity as soon as possible and well before the proposal due date. 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Additional Application Package Forms  within the  Full Proposal Required Elements  section below._x000D_
Any coastal State or Territorial CMP that has been approved by NOAA pursuant to the Coastal Zone Management Act (16 U.S.C.   1455) is eligible under this announcement if the requirements established at 15 C.F.R.   923.121 are met. Specifically, applicants must have an approved Assessment and Strategy for the 2021-2025 assessment period that includes at least one strategy for one or more of the priority enhancement areas identified in Section I.B of this Notice of Funding Opportunity (NOFO). In addition to strategies that were originally approved as part of a State or Territory's Assessment and Strategy, approved strategies also include strategies that were added or substantially modified and approved by NOAA's Office for Coastal Management prior to the closing date of the competition. See 15 C.F.R.   923.121 for all requirements._x000D_
The designated lead agency for implementing each approved CMP is eligible to submit projects for funding under this competition. For the purposes of this competition, the San Francisco Bay Conservation and Development Commission is an eligible applicant. Eligible applicants may submit a proposal on behalf of State agency partners within the approved State CMP network, if applicable. Local governments and nonprofits may participate as partners on the proposed projects; however, projects should be focused upon enhancing the approved State CMP. Each applicant may submit no more than two applications for consideration under this competition._x000D_
NOAA employees are not permitted to assist in the preparation of applications. NOAA Office for Coastal Management staff are available to provide general information on programmatic questions such as those relating to the CMPs 309 Assessment and Strategy. For proposals that involve collaboration with current NOAA projects or staff, NOAA employees may provide a limited statement verifying the nature and extent of the collaboration and confirming prior coordination activities. Letters of support from NOAA employees are not allowable and will not be included among the application materials considered by merit reviewers._x000D_
Federal agencies and employees are not allowed to receive funds under this announcement, but may serve as collaborative project partners. In-kind services from federal agencies and employees cannot be considered as part of an applicant s match on shared costs. If federal agencies are collaborators, applicants are expected to provide detail on the planned level of federal engagement in the application. Examples may include, but are not limited to, partnership services, serving in a review capacity, or participating in priority task teams, working groups, or leadership teams._x000D_
DOC/NOAA supports cultural and gender diversity and encourages women and minority individuals and groups to participate in proposals submitted to this program. In addition, DOC/NOAA is strongly committed to broadening the participation of historically black colleges and universities, Hispanic serving institutions, tribal colleges and universities, and institutions that work in underserved areas. While this program limits applicants to state and territorial CMPs, DOC/NOAA encourages applicants to include partners and contributors from any of the above groups.</t>
  </si>
  <si>
    <t>The purpose of this document is to advise eligible applicants that NOAA is soliciting proposals for competitive funding under the Coastal Zone Management Act (CZMA)â€™s Enhancement Program Projects of Special Merit, authorized under Section 309 of the CZMA (16 U.S.C. Â§1456b). The objective of Section 309 assistance is to encourage each State or Territory with a federally-approved coastal management program (CMP) to continually improve its program in specified areas of national importance. The intent of Projects of Special Merit (PSM) funding is to offer CMPs the opportunity to develop innovative projects that further their approved enhancement area strategies and focus on the following national enhancement area priorities: Coastal Hazards, Ocean and Great Lakes Resources, and Wetlands. In order to apply for this funding opportunity, CMPs must be approved by NOAA pursuant to the Coastal Zone Management Act (16 U.S.C. Â§1455) and have an approved 2021-2025 Section 309 Assessment and Strategy. Additionally, CMPs can only apply for priorities for which they have a corresponding approved strategy. Coastal Zone Management Program Regulations at 15 C.F.R. Part 923 apply to this Announcement, and program policies and procedures are further implemented through the provisions in this announcement.
Applicant organizations must complete and maintain three registrations to be eligible to apply for or receive an award. These registrations include SAM.gov, Grants.gov, and eRA Commons. All registrations must be completed prior to the application being submitted. The complete registration process for all three systems can take 4 to 6 weeks, so applicants should begin this activity as soon as possible. If an eligible applicant does not have access to the internet, please contact the Agency Contacts listed in Section VII for submission instructions.
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
The NOAA Office for Coastal Management (OCM) encourages applicants and awardees to support the principles of diversity and inclusion when writing their proposals and performing their work. Diversity is defined as a collection of individual attributes that together help organizations achieve objectives. Inclusion is defined as a culture that connects each employee to the organization. Promoting diversity and inclusion improves creativity, productivity, and the vitality of the climate research and grant community in which OCM engages.</t>
  </si>
  <si>
    <t>Farmer to Farmer 2024 BIL</t>
  </si>
  <si>
    <t>This notice announces the availability of funds and requests applications to improve water quality, habitat, resilience, and environmental education through the demonstration of innovative practices on working lands. Projects activities must improve water quality, habitat, or resilience within the Gulf of Mexico watershed. Collaboration and outreach with farmers is required, while partnerships between organizations are encouraged.  This funding is available to develop innovative practices within farming communities, measure the results of those practices, and identify how the practices will be incorporated into farming operations.</t>
  </si>
  <si>
    <t>Biomedical Research Facilities (C06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</si>
  <si>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Non-domestic (non-U.S.) Entities (Foreign Organizations) are not eligible to apply.
Non-domestic (non-U.S.) components of U.S. Organizations are not eligible to apply.
Foreign components, as defined in the NIH Grants Policy Statement, are not allowed.</t>
  </si>
  <si>
    <t>This Notice of Funding Opportunity (NOFO) invites applications from eligible academic and research institutions to apply for funding to modernize existing or construct new biomedical research facilities. Applications will be accepted from public and private nonprofit institutions of higher education, as well as from non-profit research organizations. Applications from both research-intensive institutions and Institutions of Emerging Excellence(IEE) in biomedical research from all geographic regions in the nation are strongly encouraged.
NIH recognizes the importance of all institutions of higher learning in contributing to the nations research capacity from either research-intensive or low-resourced institutions. The goal of this NOFO is to modernize biomedical research infrastructure to strengthen biomedical research programs. Each project is expected to produce substantial long-term improvements to the institutional research infrastructure. Intended projects are the construction or modernization of core facilities and the development of other shared research infrastructure serving an institution-wide research community with broad impact on biomedical research.</t>
  </si>
  <si>
    <t>TRIBAL CLEAN ENERGY PLANNING AND DEVELOPMENT - 2025</t>
  </si>
  <si>
    <t>Others (see text field entitled "Additional Information on Eligibility" for clarification) Please see full eligibility requirements under the FOA posting at https://ie-exchange.energy.gov. The Eligibility requirement are in Section III.A of the FOA document.</t>
  </si>
  <si>
    <t>DE-FOA-0003401: TRIBAL CLEAN ENERGY PLANNING AND DEVELOPMENT - 2025 
Under this Funding Opportunity Announcement (FOA), the DOE Office of Indian Energy is soliciting applications from Indian Tribes, which include Alaska Native Regional Corporations and Village Corporations, Intertribal Organizations, and Tribal Energy Development Organizations to: 
(1) 	Conduct clean energy planning (Topic Area 1); 
(2) 	Comprehensively assess the feasibility and viability of deploying clean energy technology (Topic Area 2); or, 
(3) 	Conduct clean energy design and development activities (Topic Area 3).
Unless DOE approves a requested cost share reduction from 10% to 0%, all Applicants are required to provide non-federal cost share of at least 10% of the total allowable costs of the project (i.e., the sum of the federal share and the non-federal Recipient cost share of allowable costs equals the total allowable cost of the project). If requested by the Applicant as part of its application, a cost share reduction from 10% to 0% may be considered based on financial need, specifically (1) poverty rate, or (2) median household income of the tribal community as a percentage of statewide median household income. (see Section III.B.2. of the FOA and â€˜Application Forms and Templatesâ€™ for this FOA on IE-Exchange).
DOE expects to make approximately $25 million of federal funding available for new awards under this FOA. The actual level of funding, if any, depends on Congressional appropriations. DOE anticipates making approximately 20 to 40 awards under this FOA. DOE may issue awards in one, multiple, or none of the Topic Areas.
See the FOA document in IE-Exchange for a full description.</t>
  </si>
  <si>
    <t>National Climate Adaptation Science Center Program (NCASC)</t>
  </si>
  <si>
    <t>Special district governments Eligible Applicants:_x000D_
_x000D_
Non-Federal entities eligible to submit proposals under this Announcement include state, not-for-profit, local government, and academic institutions. USGS entities may not submit proposals and may not be listed as formal partners on proposals.  Federal agencies may collaborate in the execution of research projects, but should not be a Host or a consortium partner; Federal partners must receive money through other methods as appropriate and not through Federal financial assistance (i.e., the CASC hosting cooperative agreement).Any eligible non-Federal entity, organization, or consortium interested in hosting a Center in the identified CASC region may apply; consortium partners are not required to be physically located within their corresponding CASC region.  However, proposals involving institutions located outside the focal region should provide strong evidence of experience and capability to conduct research and maintain active partnerships with resource management stakeholders within the focal region, either directly or through other consortium members. Proposals may be submitted for a single institution or by one institution serving as the CASC Host, along with additional consortium partners.  Consortium partners should only be included if they will play a clear and substantive role in CASC strategy and operations.  Examples include the provision of cooperative agreement funding for faculty and students or post-doctoral researchers for research activities related to the CASC science agenda.</t>
  </si>
  <si>
    <t>Purpose of this Announcement:1. This Announcement seeks to identify applicant organizations that propose to host and, as applicable, serve as consortium partners for a U.S. Geological Survey (USGS) Climate Adaptation Science Center (CASC) in the regions indicated below, and to determine if their proposed science, partnership, and program support activities and strategies are appropriate to serve in the following roles:Northeast, Pacific Islands, and South Central Climate Adaptation Science Centers. The geographic footprints for potential hosts of these CASCs are indicated in the map in Attachment A. The high-level climate science focus areas anticipated for these CASCs are described in Attachment C.2. Once selected, the recipient will be established as the Host Institution for the respective regional CASC. As a Host, an institution will be the sole entity eligible to receive funding to conduct follow-on research/science projects anticipated as a part of this Program Announcement. Host Institutions may engage with other institutions, including by subaward, as part of these projects.</t>
  </si>
  <si>
    <t>Notice of Intent to Issue Notice of Funding Opportunity No. DE-FOA-0003442: Regional Direct Air Capture Hubs   Recurring Program</t>
  </si>
  <si>
    <t>Unrestricted (i.e., open to any type of entity above), subject to any clarification in text field entitled "Additional Information on Eligibility" Information on eligibility will be further described in the Notice of Funding Opportunity (NOFO).</t>
  </si>
  <si>
    <t>The Office of Clean Energy Demonstrations (OCED) is issuing a Notice of Funding Opportunity (NOFO) entitled â€œRegional Direct Air Capture Hubs â€“ Recurring Programâ€ in the fourth quarter of 2024. The goal of this NOFO, along with potential subsequent re-openings and related solicitations (collectively, â€œthe Programâ€), is to support the commercialization of direct air capture (DAC) solutions and the development of four regional DAC hubs.
This Notice of Intent (NOI or Notice) describes a preliminary plan that will evolve during the Funding Opportunity development process.
DISCLAIMER: The â€œNotice of Intent to Issueâ€ is for informational purposes only; the Department of Energy is not seeking comments on the information in this notice, and applications are not being accepted at this time. Any information contained in this notice is subject to change.
OCED plans to issue the NOFO via the OCED eXCHANGE website https://oced-eXCHANGE.energy.gov/. If applicants wish to receive official notifications and information from OCED regarding this NOFO, they should register in OCED eXCHANGE. When the NOFO is released, applications will be accepted only through OCED eXCHANGE.
In anticipation of the NOFO being released, applicants are advised to complete the following steps, which are required for application submission: 
1) Register and create an account in OCED eXCHANGE at https://oced-eXCHANGE.energy.gov. This account will allow the user to apply to any open OCED NOFOs that are currently in OCED eXCHANGE. Please note that potential applicants must create an account in OCED eXCHANGE even if the organization has already registered for an EERE eXCHANGE account. It is recommended that each organization or business unit, whether acting as a team or a single entity, use only one account as the contact point for each submission. Questions related to the registration process and use of the OCED Exchange website should be submitted to: OCED-ExchangeSupport@hq.doe.gov
2) Register with the System for Award Management (SAM) at https://www.sam.gov. Designating an Electronic Business Point of Contact (EBiz POC) and obtaining a special password called a Marketing Partner Identification Number (MPIN) are important steps in SAM registration. Please update your SAM registration annually. Upon registration, SAM will automatically assign a Unique Entity Identifier (UEI). 
3) Register in FedConnect at https://www.fedconnect.net/. To create an organization account, your organizationâ€™s SAM MPIN is required. For more information about the SAM MPIN or other registration requirements, review the FedConnect Ready, Set, Go! Guide at https://www.fedconnect.net/FedConnect/Marketing/Documents/FedConnect_Ready_Set_Go.pdf
4) Register in Grants.gov to receive automatic updates when Amendments to a NOFO are posted. However, please note that applications will not be accepted through Grants.gov. (http://www.grants.gov/). All applications must be submitted through OCED eXCHANGE.</t>
  </si>
  <si>
    <t>U.S.-Danish Floating Offshore Wind Energy Mooring and Anchoring Research and Development</t>
  </si>
  <si>
    <t>Mod 0003:
The purpose of this modification is to:
Extend the full application deadline.
Mod 0002:
The purpose of this modification is to:
1. Added information regarding cost share of Tribes and Tribal Nations pursuant to EERE's uniform cost share reduction.
Mod 0001:
The purposes of this modification are to:
1. Updated direct link to Innovation Fund Denmarkâ€™s funding opportunity.
2. Added information regarding 2024 revisions to Title 2 of the Code of Federal Regulations.
U.S.-Danish Floating Offshore Wind Energy Mooring and Anchoring Research and Development 
This Funding Opportunity Announcement (FOA) is being issued by the U.S. Department of Energyâ€™s (DOE) Office of Energy Efficiency and Renewable Energy (EERE) on behalf of the Wind Energy Technologies Office (WETO). This funding opportunity is coordinated with Innovation Fund Denmark to support U.S.-Danish consortia collaborating on shared research objectives. EERE funds will be used to support the U.S. entity work through this FOA. Innovation Fund Denmark funds will be used to support Danish entity work through Innovation Fund Denmarkâ€™s corresponding funding opportunity.
The goals of this FOA are to:
-Advance floating offshore wind energy mooring technologies and methods towards cost-effective commercialization and industry growth;
-Encourage bilateral collaboration to increase the impact of research in the United States and Denmark; and
-Support research at U.S. minority-serving colleges and universities[1](MSI) and facilitate new relationships between MSIs, other researchers, and industry participants.
To view the entire FOA document, visit the EERE Exchange Website at https://eere-exchange.energy.gov/</t>
  </si>
  <si>
    <t>Geospace Cluster</t>
  </si>
  <si>
    <t xml:space="preserve">The Geospace Cluster (GC) in the Division of Atmospheric and Geospace Sciences (AGS) supports fundamental and solutions-oriented research, technology development and education related to the Earth's near-space environment (including the mesosphere, thermosphere, ionosphere, exosphere, magnetosphere and radiation belts) and the inner heliosphere and solar atmosphere. The GC advances knowledge of the Sun--Earth system, including how various parts of the system are coupled through dynamical, electrodynamical and chemical processes. The GC supports research on the societal impacts of these processes including space weather and upper atmosphere climate change, with the aim of increasing resilience to such natural hazards. The GC supports research that uses ground-based or space-based observational facilities and instruments as well as data centers and a broad range of theoretical, modeling, observational, data analyses and laboratory activities.
  General research topics that are supported by the GC include, but are not limited to:
  Aeronomy, including studies of wave dynamics, ionization, recombination, chemical reaction, photo emission and transport of energy and momentum within and between the mesosphere, thermosphere and ionosphere of the Earth; how this global system is coupled to the stratosphere below and magnetosphere above; and the plasma physics of phenomena manifested in the coupled ionosphere-magnetosphere system.
  Magnetospheric physics, including studies of the magnetosphere, or the cavity carved out of the solar wind by the Earth's magnetic field, its energization by the solar wind and population by solar and ionospheric sources; waves and instabilities in such natural plasmas; the origin of planetary electric fields; the origin of geomagnetic storms and substorms; and the coupling among the radiation belts, magnetosphere, ionosphere and atmosphere.
  Solar-terrestrial physics, including how energy generation and eruptive processes occur in the solar atmosphere and how energy and momentum are transported within the Sun-Earth system; solar dynamo, solar activity cycle and magnetic flux emergence; eruptive activity including solar flares and coronal mass ejections; solar wind heating, solar energetic particles and interactions with cosmic rays; solar wind/magnetosphere boundary; and helioseismology.
  Space weather and space climate, including solar or terrestrial drivers of space weather; observations and modeling of the integrative geospace system that could lead to better predictive capabilities of the time-varying space environment; and characterization of space weather impacts on critical infrastructure and technological systems.
Proposals to the GC are welcome at any time. However, the following solicitations in support of specific geospace science and community efforts have target dates or deadlines. They also may have PI and/or Institution restrictions. Please refer to the solicitation documents for further details:
  TheÂ Coupling, Energetics, and Dynamics of Atmospheric Regions (CEDAR)Â targeted research program aims to understand the behavior of the Earth's atmospheric regions from the middle atmosphere upward through the thermosphere and ionosphere into the exosphere in terms of coupling, energetics, chemistry and dynamics on regional and global scales.
  TheÂ Geospace Environment Modeling (GEM)Â targeted research program supports investigations of the physics of the Earth's magnetosphere and the coupling of the magnetosphere to the atmosphere and solar wind, including for making accurate predictions of the geospace environment.
  TheÂ Solar, Heliospheric, and Interplanetary Environment (SHINE)Â targeted research program supports enhanced understanding of and predictive capabilities for the processes by which energy in the form of magnetic fields and particles are produced by the Sun and/or accelerated in interplanetary space and on the mechanisms by which these fields and particles are transported to the Earth through the inner heliosphere.
  TheÂ Faculty Development in geoSpace Science (FDSS)Â solicitation integrates topics in geospace science, including solar and space physics and space weather research, into natural sciences, engineering or related departments at U.S. institutions of higher education. The solicitation also stimulates the development of undergraduate or graduate programs or curricula to train the next generation of leaders in geospace science.
The Geospace Cluster participates in other AGS, GEO and NSF programs and solicitations including but not limited to:
  Distributed Array of Small Instruments (DASI)
  ECosystem for Leading Innovation in Plasma Science and Engineering (ECLIPSE)
AGS encourages and inspires scientific leaders by investing in the atmospheric and geospace sciences, enhancing educational opportunities and experiences and supporting faculty and researchers at all career stages. The Division expects that proposers will integrate education, outreach and dissemination activities into their research plans in compliance with NSF Broader Impacts Merit Review criteria.
AGS invites proposals that include plans for workforce development, educational and outreach activities, open science initiatives and efforts to broaden participation and encourage diverse talent in the atmosphere and geospace sciences. Furthermore, AGS encourages proposals from all institutions, including Minority Serving Institutions, Emerging Research Institutions and institutions in EPSCoR jurisdictions.
The Proposal &amp; Award Policies &amp; Procedures Guide (PAPPG) provides the instructions for submitting proposals to AGS. Additionally, Chapter II.F of the PAPPG defines "Other Types of Proposals," including community-building proposals such as Conference, Travel or Planning Proposals and special categories of proposals, such as Rapid Response Research (RAPID) and EArly-concept Grants for Exploratory Research (EAGER). Proposals that are not compliant with the PAPPG will be returned without review.
The following sections highlight specific NSF-, GEO-, or AGS-wide solicitations that may be relevant to the AGS Community. Please be aware that solicitations are frequently updated, so make sure that you are looking at the most recent version. Â 
Career Development
AGS Postdoctoral Research Fellowship (AGS-PRF): The AGS-PRF program supports researchers (also known as Fellows) for up to 24 months at the institution of their choice. The program is intended to recognize beginning investigators of significant potential and provide them with research experience that will broaden perspectives, facilitate interdisciplinary interactions, and establish them in leadership positions within the AGS community.
Faculty Early Career Development Program (CAREER): The CAREER program supports early career (assistant professor-level) faculty who have the potential to serve as academic role models in research and education and to lead advances for their department or organization. Awards are 5 years long and must integrate research and education.
Mid-Career Advancement (MCA): The MCA program provides opportunities for scientists and engineers at the associate professor rank (or equivalent) to substantively enhance and advance their research program through synergistic partnerships.
Capacity Development
EMpowering BRoader Academic Capacity and Education (EMBRACE):Â  The EMBRACE program supports research and educational efforts at "non-R1" institutions, including non-R1 minority serving institutions (MSIs), two-year colleges (2YCs), primarily undergraduate institutions (PUIs), and emerging research (ERIs) and master's level institutions.
Historically Black Colleges and Universities Excellence in Research (HBCU - EiR):Â  The HBCU-EiR program supports research at public and private historically Black colleges and universities to strengthen research capacity and promote engagement with NSF.
Facilitating Research at Primarily Undergraduate Institutions (RUI and ROA):Â  RUI awards support PUI faculty in research that engages them in their professional field(s), build capacity for research at their home institution, and support the integration of research and undergraduate education. ROA awards similarly support PUI faculty research, but these awards typically allow faculty to work as visiting scientists at research-intensive organizations where they collaborate with other NSF-supported investigators.
Instrumentation and Facilities
Major Research Instrumentation:Â  The MRI program supports requests for up to $4 million from NSF for the development or acquisition of multi-user research instruments that are critical to the advancement of science and engineering.
Mid-scale Research Infrastructure-1:Â  The MSRI-1 program supports the design and implementation of research infrastructure--including equipment, cyberinfrastructure, large-scale datasets and personnel--whose total project costs exceed the NSF Major Research Instrumentation program limit but are under $20 million.
Mid-scale Research Infrastructure-2:Â  The MSRI-2 program supports the implementation of research infrastructure--including equipment, cyberinfrastructure, large-scale datasets and personnel--whose total project costs fall between $20 million and $100 million.
</t>
  </si>
  <si>
    <t>Infrastructure Cluster</t>
  </si>
  <si>
    <t>AGS Infrastructure Cluster 
The Atmospheric and Geospace Sciences (AGS) Infrastructure Cluster (IC) is responsible for the oversight of facilities that enable research in the atmospheric and geospace sciences. The IC primarily oversees the NSF National Center for Atmospheric Research (NCAR), but it also supports community-based instrumentation and facilities, and data storage and provisioning.
NSF &lt;span class="NormalTextRun SCXW90113113 BCX8" style="margin: 0px; padding: 0px; user-select: text; -webkit-user-drag: none; -webkit-tap-highlight-color: transparent;" data-ccp-chars</t>
  </si>
  <si>
    <t>Atmosphere Cluster</t>
  </si>
  <si>
    <t xml:space="preserve">
The Atmosphere Cluster (AC)Â in the Division of Atmospheric and Geospace Sciences (AGS)Â supportsÂ fundamental studies of atmospheric processes from the Earth s surface to theÂ stratosphere, and from timescales of nanoseconds to millennia. Core areas of research include the chemical, physical, and dynamical processes in the atmosphere thatÂ impactÂ clouds, weather, climate, air quality, and the water cycle.Â Research methods include modeling, collecting observations, conducting experiments in the laboratory and field, and advancing analytical measurement techniques.Â 
Â 
General research topics that are supported by the AC include, andÂ are not limited to:Â 
Chemical processes and mechanisms that explain how atmospheric gases and aerosols form, react,Â transformÂ and interact with the surrounding environment.Â 
ProcessesÂ and dynamics that governÂ climateÂ and hydroclimate,Â includingÂ their mean state, variability, response to external forcingÂ andÂ their role inÂ the establishment ofÂ aÂ global energy and water balance; coupled atmosphere-ocean interactions, land-atmosphere interactions and interactionsÂ amongÂ clouds, atmosphericÂ circulationÂ and climate.Â 
Observational and modeling studies of past climate and its drivers and studies that developÂ and synthesizeÂ paleoclimate proxies and records.Â 
Physics and dynamics of atmospheric motions on all scales,Â from the planetary to the microscale, including the general circulation of the troposphere and stratosphere, planetary waves, synoptic and mesoscale systems, convection, gravity waves,Â turbulenceÂ and planetary boundary layer dynamics.Â 
Physical meteorology including aerosol, cloud, and precipitation physics and atmospheric electricity.Â 
Synoptic and mesoscale meteorology includingÂ the processes,Â predictabilityÂ and future changes inÂ severe and hazardous weather.Â 
Â 
Proposals to theÂ ACÂ are welcome at any time. However, the following solicitations in support of specific atmospheric science and community efforts have target dates or deadlines. They also may haveÂ PIÂ and/orÂ Institution restrictions. Please refer toÂ the solicitation documents for further details:Â 
Â 
TheÂ Paleo Perspectives on Present and Projected Climate (P4CLIMATE)Â solicitation supportsÂ observational and modeling studies to provide paleo perspectives addressing the two research themes: 1) Past Regional and Seasonal Climate; and 2) Past Climate Forcing, Sensitivity, andÂ Feedbacks.Â 
TheÂ Facility and Instrumentation Request Process (FIRP)Â solicitation describes theÂ requirements for the submission of proposals that will make use of AGS-supported facilities and instrumentation managed by the Facilities for Atmospheric Reseach and Education (FARE) program.Â 
AGS encouragesÂ and inspiresÂ scientific leadersÂ byÂ investing inÂ the atmospheric and geospace sciences, enhancing educational opportunities and experiencesÂ and supporting faculty and researchersÂ at all career stages.Â The Division expects that proposers will integrate education,Â outreachÂ and dissemination activities into their research plans in compliance with NSF Broader ImpactsÂ Merit ReviewÂ criteria. Â 
Â 
AGS invites proposals that include plans for workforce development, educational and outreach activities, open science initiatives,Â and efforts to broaden participation and encourage diverse talent in the atmosphere andÂ geospaceÂ sciences. Furthermore, AGS encourages proposals from all institutions, including Minority Serving Institutions, Emerging ResearchÂ InstitutionsÂ and institutions inÂ Established ProgramÂ to Stimulate Competitive ResearchÂ (EPSCoR)Â jurisdictions.Â 
Â 
The Proposal   Award Policies   Procedures Guide (PAPPG)Â providesÂ the instructions forÂ submittingÂ proposals toÂ AGS.Â Additionally, Chapter II.F of the PAPPG defines  Other Types of Proposals,  including community-building proposals such as Conference, Travel or Planning Proposals and special categories of proposals, such as Rapid Response Research (RAPID) and EArly-concept Grants for Exploratory Research (EAGER).Â Proposals that are not compliant with the PAPPG will be returned without review.Â 
Â 
The following sections highlight specific NSF-, GEO-Â or AGS-wide solicitations that may be relevant to the AGS Community. Please be aware that solicitations areÂ frequentlyÂ updated, so make sure that you are looking at the most recent version.Â Â Â 
Â 
Career DevelopmentÂ 
Â 
AGS Postdoctoral Research Fellowship (AGS-PRF):Â  The AGS-PRF program supports researchers (also known as Fellows) for up to 24 months at the institution of their choice. The program is intended to recognize beginning investigators of significant potential and provide them with research experience that will broaden perspectives,Â facilitateÂ interdisciplinaryÂ interactionsÂ andÂ establishÂ them in leadership positions within theÂ AGSÂ community.Â 
Â 
Faculty Early Career Development ProgramÂ (CAREER):Â Â The CAREER program supportsÂ early career (assistant professor-level) faculty who have the potential to serve as academic role models in research and education and to lead advances for their department or organization. Awards are 5 years long and must integrate research and education.Â 
Â 
Mid-Career Advancement (MCA):Â Â The MCA program providesÂ opportunities for scientists and engineers at the associate professor rank (or equivalent) to substantively enhance and advance their research program through synergistic partnerships.Â 
Â Â 
Capacity DevelopmentÂ 
Â 
EMpowering BRoader Academic Capacity and Education (EMBRACE):Â Â The EMBRACE program supportsÂ research and educational efforts at "non-R1" institutions, including non-R1 minority serving institutions (MSIs), two-year colleges (2YCs), primarily undergraduate institutions (PUIs), and emerging researchÂ (ERIs)Â and master's level institutions.Â 
Â 
Historically Black Colleges and Universities - Excellence in Research (HBCU - EiR):Â Â The HBCU-EiRÂ Â– program supports research at public and private historically Black colleges and universities to strengthen researchÂ capacityÂ and promote engagement with NSF.Â 
Â 
Facilitating Research at Primarily Undergraduate Institutions (RUI and ROA):Â  RUIÂ awardsÂ support PUI faculty in research that engages them in their professional field(s), buildsÂ capacityÂ for research at their home institution, and supportsÂ the integration of research and undergraduate education. ROAÂ awards similarly support PUI faculty research, but these awards typically allow faculty to work as visiting scientists at research-intensive organizations where they collaborate with other NSF-supported investigators.Â 
Â 
Instrumentation and FacilitiesÂ 
Â 
Major Research Instrumentation:Â Â The MRI program supports requests for up to $4 million from NSF for the development or acquisition of multi-user research instruments that are critical to the advancement of science and engineering.Â 
Â 
Mid-scale Research Infrastructure-1:Â Â The MSRI-1 program supports the design and implementation of research infrastructure Â— including equipment, cyberinfrastructure, large-scaleÂ datasetsÂ and personnel Â— whose total project costs exceed the NSF Major Research Instrumentation programÂ limitÂ but are under $20 million.Â 
Â 
Mid-scale Research Infrastructure-2:Â Â The MSRI-2 program supports the implementation of research infrastructure Â— including equipment, cyberinfrastructure, large-scaleÂ datasetsÂ and personnel Â— whose total project costs fall between $20 million and $100 million.Â Â 
 Â 
</t>
  </si>
  <si>
    <t>Amyotrophic Lateral Sclerosis (ALS) Intermediate Patient Population Expanded Access (U01 Clinical Trial Required)</t>
  </si>
  <si>
    <t>The National Institute of Neurological Disorders and Stroke (NINDS) and the Office of the Director, National Institutes of Health (OD), intend to promote a new initiative by publishing a Funding Opportunity Announcement (FOA) to solicit applications for the conduct of scientific research utilizing data from expanded access (EA) to investigational drugs or biological products. These applications will target intermediate size populations of patients living with amyotrophic lateral sclerosis (ALS) who are not otherwise eligible for clinical trials for the diagnosis, mitigation, treatment, or cure of ALS ("intermediate EA protocol for ALS"). Providing the investigational drug or biological product under an intermediate EA protocol for ALS must not interfere with the initiation, conduct, or completion of clinical investigations that could support marketing approval, or otherwise compromise the potential development of medical products for the diagnosis, mitigation, treatment, or cure of ALS. Eligible applicants are clinical trial sites that participate in a phase 3 clinical trial supported by a United States (U.S.) small business concern (as defined in section 3(a) of the Small Business Act (15 U.S. C. 623(a)) that is also the U.S. Food and Drug Administration (FDA) designated sponsor of a drug or biological product for ALS that is the subject of an Investigational New Drug Application (IND). This Notice is being provided to allow potential applicants sufficient time to develop meaningful collaborations and responsive projects.  The FOA is expected to be published in May 2022 with an expected application due date in June 2022. This FOA will utilize the U01 activity code.</t>
  </si>
  <si>
    <t>USGS Cooperative Landslide Hazard Mapping and Assessment Program</t>
  </si>
  <si>
    <t>City or township governments This Program Announcement is open to state, Tribal, territorial, and local governments. A university may submit a proposal on behalf of a state geological survey or other state office if they are organized under a university system.</t>
  </si>
  <si>
    <t>The U.S. Geological Survey (USGS) Landslide Hazards Program (LHP) issues this Program Announcement for assistance to support communication, planning, coordination, mapping, assessments, and data collection of landslide hazards. The Program Announcement for the Cooperative Landslide Hazard Mapping and Assessment Program is authorized by the National Landslide Preparedness Act (P.L. 116-323) and appropriations to the USGS.A main objective of this Program, as outlined in the National Landslide Preparedness Act, is to provide grants, on a competitive basis, to state, territorial, local, and Tribal governments to research, map, assess, and collect data on landslide hazards within the jurisdictions of those governments. This funding opportunity, the USGS Cooperative Landslide Hazard Mapping and Assessment Program, solicits Risk Reduction Proposals as described in this document.</t>
  </si>
  <si>
    <t>U.S. Wave Energy Open Water Testing</t>
  </si>
  <si>
    <t>The Office of Energy Efficiency and Renewable Energy (EERE) is issuing, on behalf of the Water Power Technologies Office (WPTO), this funding opportunity announcement (FOA) titled â€œOceans of Opportunity: U.S. Wave Energy Open Water Testingâ€, to significantly accelerate the design, fabrication, and testing of multiple wave energy converters. WPTO plans to open a stage-gated, five-year, up to $112.5 million funding opportunity to advance U.S. wave energy technology commercial adoption.
This FOA will support projects across three topic areas focused on advancing wave energy research, development, and demonstration (RD&amp;D) to move the wave energy industry toward commercialization for distributed, community, and utility applications.
Topic Area 1: Open Water Testing and System Validation for Distributed Applications
Topic Area 2: Open Water Testing and System Validation for Community Applications
Topic Area 3: Open Water Testing and System Validation for Utility Applications
This FOA is issued via the EERE Program Information Center (EPIC) website. To view the full announcement, visit EPIC at https://epicweb.ee.doe.gov/EPICWeb/#/home.</t>
  </si>
  <si>
    <t>FY 2024 National Maritime Heritage Grant Program - Education Grants</t>
  </si>
  <si>
    <t>State governments This funding opportunity is open to State Historic Preservation Offices and other organizations as described in the National Maritime Heritage Act. There are 59 State Historic Preservation Offices; one in each of the 50 states, the 5 territories, the District of Columbia, and the 3 Freely Associated States of Micronesia. One nonprofit organization, Ohio History Connection, is eligible to apply serving as the Ohio State Historic Preservation Office.</t>
  </si>
  <si>
    <t>The National Maritime Heritage Grants Program provides funding for education and preservation projects designed to preserve historic maritime resources and to increase public awareness and appreciation for the maritime heritage of the United States. This grant program is funded through the proceeds of the sale or scrapping of obsolete vessels of the National Defense Reserve Fleet. Grants are administered in partnership with the U.S. Department of Transportation, Maritime Administration (MarAd).This grant program is authorized by the National Maritime Heritage Act, 54 USC 308701-380707. All grants must be matched on a 1:1 basis with non-federal funds. The total funding available for grants will be divided equally between preservation projects and education projects. Consequently, this is the Notice of Funding Opportunity (NOFO) for EDUCATION grants. There is a separate NOFO for preservation grants. Please ensure your application is submitted under the appropriate NOFO.Education projects foster awareness of and appreciation for historic maritime resources for new educational exhibits, activities to encourage traditional maritime skills, special skills (for example - rigging, sail training), interpretation of artifacts in collections, maritime heritage programs focusing on maritime heritage trails and corridors, and the construction and use of reproduction of historic maritime resources. All funded projects must meet the relevant Secretary of the Interior's Standards and Guidelines for Archeology and Historic Preservation.</t>
  </si>
  <si>
    <t>Early Psychosis Intervention Network (EPINET): Learning Health Care Research to Improve Mental Health Services and  Outcomes (P01 Clinical Trial Optional)</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</si>
  <si>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 are not eligible to apply.
Non-domestic (non-U.S.) components of U.S. Organizations are not eligible to apply.</t>
  </si>
  <si>
    <t>The purpose of this NOFO is to seek Program Project (P01) applications from scientific hubs to support learning health care research in clinics offering evidence-based Coordinated Specialty Care (CSC) to persons in the early stages of psychotic illness. For this NOFO, early psychosis is defined as the period spanning the onset of an affective or non-affective psychotic disorder and up to 5 years following the first episode of psychosis. Each scientific hub will link multiple early psychosis service programs through (1) the EPINET Core Assessment Battery (CAB) of early psychosis clinical features, CSC services, and treatment outcomes; (2) informatics tools to collect de-identified, person-level data across sites; and (3) a unified approach for analyzing pooled data and disseminating promising findings rapidly across the network.</t>
  </si>
  <si>
    <t>Discovery and Development of Novel Therapeutics for Select Fungal Pathogens (R21/R33 Clinical Trial Not Allowed)</t>
  </si>
  <si>
    <t>The purpose of this notice of funding opportunity (NOFO) is to support milestone-driven, early-stage translational research focused on drug discovery and development of novel therapeutics against select fungal pathogens including: Candida species, specifically Candida auris; Aspergillus fumigatus; Coccidioides; and Mucorales. This NOFO will use a milestone-driven, biphasic award mechanism. Transition to the R33 phase will depend on the successful completion of specific milestones during the R21 phase.</t>
  </si>
  <si>
    <t>FY 2024- National Maritime Heritage Grant Program - Preservation Grants</t>
  </si>
  <si>
    <t>State governments This funding opportunity is open to State Historic Preservation Offices and other organizations as described in the National Maritime Heritage Act. There are 59 State Historic Preservation Offices; one in each of the 50 states, the 5 territories, the District of Columbia, and the 3 Freely Associated States of Micronesia.  One nonprofit organization, Ohio History Connection, is eligible to apply serving as the Ohio State Historic Preservation Office.</t>
  </si>
  <si>
    <t>The National Maritime Heritage Grants Program provides funding for education and preservation projects designed to preserve historic maritime resources and to increase public awareness and appreciation for the maritime heritage of the United States. This grant program is funded through the proceeds of the sale or scrapping of obsolete vessels of the National Defense Reserve Fleet. Grants are administered in partnership with the U.S. Department of Transportation, Maritime Administration (MarAd).This grant program is authorized by the National Maritime Heritage Act, 54 USC 308701-380707. All grants must be matched on a 1:1 basis with non-federal funds. The total funding available for grants will be divided equally between preservation projects and education projects. Consequently, this is the Notice of Funding Opportunity (NOFO) for PRESERVATION grants. There is a separate NOFO for education grants. The opportunity number for education grants is P24AS00147. Please ensure your application is submitted under the appropriate NOFO.Preservation projects are defined to include all facets of preservation planning and treatment for historic maritime properties, including archeological sites. All funded preservation projects must meet the relevant Secretary of the Interior's Standards and Guidelines for Archeology and Historic Preservation. The Standards for Historic Vessel Preservation Projects may be of particular interest depending on the project. Activities like acquisition, planning, and documentation are considered preservation projects.</t>
  </si>
  <si>
    <t>Regional Resiliency   Vulnerability Assessments for Ocean and Coastal Acidification (RVA OA25)</t>
  </si>
  <si>
    <t>Others (see text field entitled "Additional Information on Eligibility" for clarification) Eligible applicants are institutions of higher education; other nonprofits; commercial organizations; state, local and Tribal governments; and authorized Federal agencies. Applications from non-Federal and Federal applicants will be competed against each other. Proposals selected for funding from non-Federal applicants will be funded through a grant or cooperative agreement as described above in section II. C. of this notice. Proposals selected for funding from NOAA scientists shall be effected by an intra-agency fund transfer. Proposals selected for funding from a non-NOAA Federal agency will be funded through an inter-agency transfer. PLEASE NOTE: Before non-NOAA Federal applicants may be funded, they must demonstrate that they have legal authority to receive funds from another Federal agency in excess of their appropriation. Because this announcement is not proposing to procure goods or services from applicants, the Economy Act (31 USC 1535) is not an appropriate legal basis.</t>
  </si>
  <si>
    <t>The NOAA Ocean Acidification Program is requesting proposals for collaborative projects that synthesize ocean and coastal acidification information at a regional scale. This announcement specifically addresses priorities for how ocean and coastal acidification - in the context of changing ocean conditions - affects dependent human communities (the human dimensions of ocean and coastal acidification). This includes the identification and engagement of interested partners and groups, the assessment of their needs, and the generation of products and tools that support management, adaptation, and resilience to ocean and coastal acidification. These projects should provide actionable information to decision makers and/or bolster the resilience of the nationâ€™s economy by determining where societal vulnerabilities to ocean and coastal acidification exist or are emerging. This funding opportunity will only support the collection of social science data. Synthesis of existing data in other fields is strongly encouraged. Funding is contingent upon the availability of Fiscal Year 2025 Federal appropriations. Projects funded under this announcement will have a September 1, 2025 start date. Approximately 1â€“6 projects for up to 3 years in duration are expected to be funded at the level of approximately $100,000 - $400,000 per year per proposal. It is anticipated that a total of up to $3 million may be available in FY25 to support the first year of these projects.</t>
  </si>
  <si>
    <t>U.S.-South Africa Program for Collaborative Biomedical Research  Phase 3 (HIV/AIDS) (R01 Clinical Trial Optional)</t>
  </si>
  <si>
    <t>Others (see text field entitled "Additional Information on Eligibility" for clarification) Other Eligible Applicants include the following:
 Non-domestic (non-U.S.) Entities (Foreign Organizations); See funding opportunity for eligibility criteria. 
Non-domestic (non-U.S.) components of U.S. Organizations are not eligible to apply.</t>
  </si>
  <si>
    <t>The purpose of this Notice of Funding Opportunity (NOFO) is to support research projects under Phase 3 of the U.S.-South Africa Program for Collaborative Biomedical Research.  Research areas supported under this program include HIV/AIDS, HIV/AIDS co-morbidities and co-infections, HIV/AIDS-associated implementation science, and HIV/AIDS-associated data science. The hallmark of the U.S.-South Africa program is the development of collaborative partnerships between South African investigators and United States (U.S.) investigators. Through international collaboration, this research will advance scientific discoveries, promote sharing of technologies and approaches, and serve local public health needs and priorities in support of global HIV/AIDS research.</t>
  </si>
  <si>
    <t>ROSES 2024: A.5 Carbon Cycle Science</t>
  </si>
  <si>
    <t xml:space="preserve">Please note that this program requests optional Notices of Intent, which are due via NSPIRES by October 17,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</si>
  <si>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Cellular Models of HIV Pathogenesis within NIDDK Mission Areas (R01 Clinical Trial Not Allowed)</t>
  </si>
  <si>
    <t>This Notice of Funding Opportunity (NOFO) invites applications that are focused on developing, using, and/or improving cellular models that recapitulate critical aspects of normal human physiology, such as microphysiological systems, organoids, and other three-dimensional models, to explore the interaction of HIV with tissues and processes within NIDDK's mission areas.  Projects are expected to investigate mechanisms of viral persistence, latency, reactivation, eradication, or pathological processes contributing to co-occurring conditions.</t>
  </si>
  <si>
    <t>Solid Waste Infrastructure for Recycling (SWIFR) Grants for Tribes and Intertribal Consortia</t>
  </si>
  <si>
    <t>The Solid Waste Infrastructure for Recycling (SWIFR) Grant Program is a covered program under the Justice40 Initiative which aims to deliver 40percent of the overall benefits of federal climate, clean energy, affordable and sustainable housing, clean water, and other investments to disadvantaged communities. More information on the Justice40 Initiative at the EPA can be found at: www.epa.gov/environmentaljustice/justice40-epa.There are three types of grants within the SWIFR program, which are designed to fund a range of projects that will enable EPA to help states, territories, Tribes, local governments, and communities improve and transform their recycling and materials management infrastructure.1. SWIFR Grants for States and Territories2. SWIFR Grants for Tribes and Intertribal Consortia3. SWIFR Grants for Political SubdivisionsThis Notice of Funding Opportunity (NOFO) is for the SWIFR Grants for Tribes and Intertribal Consortia. The total estimated funding for this competitive opportunity is approximately $20,000,000. The EPA anticipates awarding approximately 20 assistance agreements, with at least one award per EPA Region, depending on thequality and quantity of applications received. The minimum individual award amount is $100,000 and the maximum individual award amount is $1,500,000 for the grant period, which is up to three years. Please see NOFO for more information.UPDATE: A revision was made to Section III.A: Eligible Applicants of this NOFO. The list of eligible entities was revised to list â€œIndian Tribesâ€ rather than â€œFederally Recognized Tribes.â€ Please refer to the revised NOFO, Funding Opportunity Number: EPA-I-OLEM-ORCR-24-06, SOLID WASTE INFRASTRUCTURE FOR RECYCLING (SWIFR) GRANTS FOR TRIBES AND INTERTRIBAL CONSORTIA, located under the "Related Documents" tab.</t>
  </si>
  <si>
    <t>Multilateral Partnerships Leveraging Excellence</t>
  </si>
  <si>
    <t>Many of the most pressing challenges in research and innovation require collaboration across national and disciplinary boundaries to achieve important advances. A growing number of topics are best addressed on a multilateral basis, building partnerships that leverage diverse expertise, data, infrastructure, and perspectives to advance understanding on critical topics of regional or global importance. At the same time, funders, research organizations, and researchers alike typically have limited experience with multilateral partnerships. 
The Office of International Science and Engineering s MultiPLEx program seeks to support visionary, and ambitious international multilateral research partnerships that are required to hasten progress in addressing grand challenges by leveraging research excellence in the U.S. and around the globe. The program also seeks to advance understanding of effective multilateral collaboration.
MultiPLEx welcomes proposals that
Address urgent research and/or societal challenge of global importance (including but not limited to critical and emerging technology research) and require an inherently international multilateral approach to achieve impactful research results, partnering with at least two countries other than the U.S. Proposals that engage partners across distinct geographic regions are an area of interest.
Make clear how the proposed international collaboration will enable research advances and broader impacts that go beyond what can be accomplished by a narrower team.
Include a diverse group of U.S. institutions and/or individuals, leveraging the full range of talent that society has to offer
MultiPLEx funds support the U.S. research team. Research partners should seek funding from their own national funding agencies or from other sources. A typical MultiPLEx award will be up to three years in duration. 
The MultiPLEX program is not intended to replace existing OISE or directorate programs. Proposals submitted to MultiPLEX must fall outside the scope of existing OISE or directorate programs. Any proposal submitted to MultiPLEx that is not responsive to this Program Description may be transferred to another OISE program or returned without review.
OISE may periodically issue a Dear Colleague Letter inviting MultiPLEx proposals in specific priority areas. PIs interested in submitting proposals that do not respond to a DCL are strongly encouraged to consult a MultiPLEx program director prior to submission to confirm appropriateness. Unless specified in a DCL, MultiPLEx proposals may be submitted any time.</t>
  </si>
  <si>
    <t>Cultural Anthropology Program - Doctoral Dissertation Research Improvement Grants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</si>
  <si>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*Who May Serve as PI:
The proposal must be submitted through regular organizational channels by the dissertation advisor(s) on behalf of the graduate student. The advisor is the principal investigator (PI); the student is the co-principal investigator (co-PI). The student must be the author of the proposal. The student must be enrolled at a U.S. institution, but need not be a U.S. citizen. To be eligible to serve as the PI, the advisor must be available during the period of submission, review, and performance of the research to relay information and communications from NSF to the student.</t>
  </si>
  <si>
    <t>The primary objective of the Cultural Anthropology Program is to support basic scientific research on the causes, consequences and complexities of human social and cultural variability.
Contemporary cultural anthropology is an arena in which diverse research traditions and methodologies are valid in investigations of human cultural variation. Recognizing the breadth of the field's contributions to science, the Cultural Anthropology Program welcomes proposals for empirically grounded, fieldwork/lab-based theoretically engaged and methodologically sophisticated research in all sub-fields of cultural anthropology. Because the National Science Foundation's mission is to support basic research, the NSF Cultural Anthropology Program does not fund research that takes as its primary goal improved clinical practice, humanistic understanding or applied policy. A proposal that applies anthropological methods to a social problem but does not propose how that problem provides an opportunity to make a theory-testing and/or theory-expanding contribution to anthropology will be returned without review.
Program research priorities include, but are not limited to, research that increases our understanding of:
Sociocultural drivers of critical anthropogenic processes such as deforestation, desertification, land cover change, urbanization and poverty.
Resilience and robustness of sociocultural systems.
Scientific principles underlying conflict, cooperation and altruism, as well as explanations of variation in culture, norms, behaviors and institutions.
Economy, culture, migration and globalization.
Variability and change in kinship and family norms and practices.
General cultural and social principles underlining the drivers of health outcomes and disease transmission.
Biocultural work that considers the nexus of human culture and its relationship with human biology.
Social regulation, governmentality and violence.
Origins of complexity in sociocultural systems.
Language and culture: orality and literacy, sociolinguistics and cognition.
Theoretically-informed approaches to co-production in relation to scientific understandings of human variability and environmental stewardship.
Mathematical and computational models of sociocultural systems such as social network analysis, agent-based models, multi-level models, and modes that integrate agent-based simulations and geographic information systems (GIS).
Socio-cultural drivers of technology and technological systems such as AI, machine learning, augmented data, and platforms.
As part of its effort to encourage and support projects that explicitly integrate education and basic research, CA provides support to enhance and improve the conduct of doctoral dissertation projects designed and carried out by doctoral students enrolled in U.S. institutions of higher education who are conducting scientific research that enhances basic scientific knowledge.</t>
  </si>
  <si>
    <t>Established Program to Stimulate Competitive Research (EPSCoR) Implementation Grants</t>
  </si>
  <si>
    <t>Others (see text field entitled "Additional Information on Eligibility" for clarification) Refer to page 10 of the FOA</t>
  </si>
  <si>
    <t xml:space="preserve">The DOE Established Program to Stimulate Competitive Research (DOE EPSCoR) announces its interest in receiving new and renewal applications from applicants within eligible jurisdictions for Implementation Grants. Grants awarded under this program are intended to improve research capability through the support of a group of scientists and engineers, including undergraduate students, graduate students and post-doctoral fellows, working on a common scientific theme in one or more EPSCoR jurisdictions. These awards are not appropriate mechanisms to provide support for individual faculty science and technology research projects. While the academic, non-profit and industrial research communities are welcome to lead or to participate in applications, a strong component of student education in research is required for all applicants.
</t>
  </si>
  <si>
    <t>DE-FOA-0003371</t>
  </si>
  <si>
    <t>Public and State controlled institutions of higher education DOE/NNSA and non-DOE/NNSA Federally Funded Research and Development Centers (FFRDCs) are restricted from applying for funding as a Prime Recipient but are eligible to participate as a Subrecipient. The FFRDC effort, in aggregate, shall not exceed 50% of the total estimated cost of the project, including the applicant s and the FFRDC s portions of the effort.</t>
  </si>
  <si>
    <t>Amendment 000001 - Extend the Full Application submission deadline from January 16th, 2025 at 5:00PM ET to January 31st, 2025 at 5:00PM ET to allow sufficient time for development during end of calendar year activities. Adjusted all proceeding dates, such as Reply to Reviewer Comments, by an equal amount of time. Adjusted award notification dates for Research, Technology, and Economic Security review. Updated Table 3 to align the Allowable Fuel Types with Table 1. 
Funding Opportunity Announcement (FOA) DE-FOA-0003371 FY24 Scale-up of Integrated Biorefineries supports higher risk bioenergy technologies that are ready to scale, ultimately demonstrating feedstock-conversion variations, or production pathways, to support commercialization and meet the Sustainable Aviation Fuel (SAF) Grand Challenge goal of 35 billion gallons per year of SAF production by 2050 and the Clean Fuels and Products Shot goal of 50% projected demand for maritime, rail, off-road, and renewable carbon-based chemicals by 2050.
The activities to be funded under this FOA will support the advancement of cost-shared research, development, and demonstration projects with partners in industry, academia, and the National Laboratories focused on the design, construction, operation, and validation of new technology and feedstock pathways for engineering scale integrated biorefineries.  The intent of this FOA is to reduce technology uncertainty and risk through cost-shared pilot- and demonstration-scale biorefinery projects. The FOA would support BETOâ€™s multi-year strategic goals to 1) decarbonize the transportation sector through the production of cost-effective SAF and other strategic fuels, and 2) decarbonize the industrial sector through cost-effective and sustainable chemicals, materials, and processes utilizing biomass and waste resources. 
Topic Area 1 will identify, evaluate, and select applications proposing project definition, development, and execution plans for the scaling of pre-pilot (TRL 5) biofuel technologies to pilot scale (TRL 6).
Topic Area 2 will identify, evaluate, and select applications proposing project definition, development, and execution plans for the scaling of pilot (TRL 6) biofuel technologies to demonstration scale (TRL 7-8).
Topic Area 3 supports scale-up activities to produce organic chemicals from renewable biomass and waste feedstocks that can replace those currently derived from petroleum. Topic Area 3 will identify, evaluate, and select applications proposing project definition, development, and execution plans for the scaling of pre-pilot and pilot (TRL 5-6) biochemical technologies to pilot and demonstration scale (TRL 6-8).
Questions regarding the FOA must be submitted to FY24BETOScaleUp@ee.doe.gov 
Interested parties are directed to visit the Energy Efficiency and Renewable Energyâ€™s eXCHANGE system at https://eere-Exchange.energy.gov for the full Funding Opportunity Announcement DE-FOA-0003371.
The required Concept Paper due date for this FOA is 11/07/2024 at 5PM ET. The Full Application due date for this FOA is 01/31/2025 at 5PM ET.
The eXCHANGE system is currently designed to enforce hard deadlines for Concept Paper and Full Application submissions. The APPLY and SUBMIT buttons automatically disable at the defined submission deadlines. The intention of this design is to consistently enforce a standard deadline for all applicants.
Applicants that experience issues with submissions PRIOR to the FOA Deadline: In the event that an Applicant experiences technical difficulties with a submission, the Applicant should contact the eXCHANGE helpdesk for assistance (exchangehelp@hq.doe.gov). The eXCHANGE helpdesk and/or the EERE eXCHANGE System Administrators (eXCHANGE@ee.doe.gov) will assist the Applicant in resolving all issues.
Applicants that experience issues with submissions that result in a late submission: In the event that an Applicant experiences technical difficulties with a submission that results in a late submission, the Applicant should contact the eXCHANGE helpdesk for assistance (exchangehelp@hq.doe.gov). The eXCHANGE helpdesk and/or the EERE eXCHANGE System Administrators (eXCHANGE@ee.doe.gov) will assist the Applicant in resolving all issues (including finalizing the submission on behalf of, and with the Applicant's concurrence). DOE will only accept late applications when the Applicant has a) encountered technical difficulties beyond their control; b) has contacted the eXCHANGE helpdesk for assistance; and c) has submitted the application through eXCHANGE within 24 hours of the FOA's posted deadline.</t>
  </si>
  <si>
    <t>Notice of Intent (NOI) to Issue Notice of Funding Opportunity (NOFO) Advanced Hydrogen and Fuel Cell Technologies to Drive National Decarbonization DE-FOA-0003439</t>
  </si>
  <si>
    <t>Modification 0001: The purpose of this modification is to:
â€¢ Update title for Topic 3
The Office of Energy Efficiency and Renewable Energy (EERE) intends to issue, on behalf of the Hydrogen and Fuel Cell Technologies Office (HFTO), a Notice of Funding Opportunity (NOFO) entitled â€œAdvanced Hydrogen and Fuel Cell Technologies to Drive National Decarbonization.â€
Clean hydrogen and fuel cell technologies are important elements of a comprehensive energy portfolio, particularly for use in hard-to-decarbonize sectors of the economy (such as heavy-duty transportation and industrial applications) and to enable long duration energy storage for a clean electric grid. Advancing clean hydrogen and fuel cell technologies directly supports the Biden-Harris Administrationâ€™s goals of achieving carbon pollution-free electricity by 2035 and net-zero emissions economy-wide by no later than 2050, benefiting all Americans.
This NOFO supports the vision outlined in the U.S. National Clean Hydrogen Strategy and Roadmap: affordable clean hydrogen for a net-zero carbon future and a sustainable, resilient, and equitable economy. The NOFO will target research, development, and demonstration (RD&amp;D) topics critical to scaling hydrogen infrastructure and enabling increased adoption of clean hydrogen across sectors, particularly in heavy-duty (HD) vehicles and other heavy-duty transportation applications, which supports the U.S. National Blueprint for Transportation Decarbonization. Increased adoption of hydrogen technologies will help achieve economies of scale and drive down costs, directly supporting the Department of Energyâ€™s (DOE) Regional Clean Hydrogen Hubs (H2Hubs) Program, an $8 billion federal investment to create networks of hydrogen producers, consumers, and local connective infrastructure to accelerate the use of hydrogen as a clean energy carrier and a carbon-free input to a number of chemical and industrial processes. Improvements in clean hydrogen technologies will also contribute to the long-term viability of the H2Hubs and other commercial-scale deployments. Activities funded under this NOFO will also align with the H2@Scale Initiative, which aims to advance affordable hydrogen production, transport, storage, and utilization to enable decarbonization and revenue opportunities across multiple sectors. The NOFOâ€™s objectives support DOEâ€™s Hydrogen Shot goal, which targets affordable clean hydrogen production at $1/kg within a decade.
Hydrogen and fuel cells can provide benefits and create opportunities for communities that have been historically underservedâ€”such as improving air quality, providing resiliency, and creating jobs, including good-paying union jobs. Consistent with DOEâ€™s commitment to benefit all Americans, this anticipated NOFO will encourage the participation of underserved communities and underrepresented groups. Applicants will be encouraged to form meaningful and substantial partnerships with Minority Serving Institutions (e.g., Historically Black Colleges and Universities, Tribal Colleges and Universities, and Other Minority Institutions).
To support the goal of building a clean and equitable energy economy, projects funded under this NOFO will be expected to (1) advance diversity, equity, inclusion, and accessibility (DEIA); (2) contribute to the Justice40 Initiative7 and other considerations linked with energy and/or environmental justice; and (3) invest in Americaâ€™s workforce. To ensure these objectives are met, applications must include an RDD&amp;D Community Benefits Plan (CBP) that addresses the three objectives stated above.
THIS IS A NOTICE OF INTENT (NOI) ONLY. This Notice is issued so that interested parties are aware of the EEREâ€™s intention to issue this NOFO in the near term. All of the information contained in this Notice is subject to change. EERE may issue a NOFO as described herein, may issue a NOFO that is significantly different from the NOFO described herein, or EERE may not issue a NOFO at all.
EERE will not respond to questions concerning this Notice. Once the NOFO has been released, EERE will provide an avenue for potential Applicants to submit questions.
Prospective applicants to the NOFO should begin developing partnerships, formulating ideas, and gathering data in anticipation of the issuance of this NOFO. EERE plans to issue the NOFO on or about October 2024 via the EERE Exchange website https://eere-exchange.energy.gov/.</t>
  </si>
  <si>
    <t>Addressing Sexual and Gender-Based Violence (SGBV) and Trafficking in Persons (TIP) in West Africa (SGBV-TIP)</t>
  </si>
  <si>
    <t>USAID-GHA</t>
  </si>
  <si>
    <t>Ghana USAID-Accra</t>
  </si>
  <si>
    <t>Others (see text field entitled "Additional Information on Eligibility" for clarification) Eligibility for this NOFO is restricted to local organizations in Africa.</t>
  </si>
  <si>
    <t xml:space="preserve">The U.S. Agency for International Development (USAID)â€™s West Africa Regional Peace and Governance Office (RPGO) seeks to award funding to prevent, mitigate, and/or respond to sexual and gender-based violence (SGBV) and/or trafficking in persons (TIP) in West Africa (Benin, Cameroon, CÃ´te dâ€™Ivoire, Guinea, Niger and Togo) under an Annual Program Statement (APS). USAID intends to have one (1) selection round over the course of one (1) year, but may choose to have a second round if necessary. The APS is intended to help USAID partner with African organizations with experience working in West Africa on these topics. This APS intends to address two specific human rights challenges in West Africa: SGBV and TIP. Addressing the scourges of SGBV and TIP is a USG priority. The United States believes that preventing and responding to SGBV around the world is a matter of human rights, justice, equity, and equality, and is central to achieving the Agencyâ€™s mission to end extreme poverty and promote resilient, democratic societies while advancing security and prosperity in developing countries. The United States believes that TIP is a severe humanitarian and development challenge which affects millions of people of all ages worldwide. The United States Government. is legally mandated by the Trafficking Victims Protection Act of 2000 (TVPA) to impose consequences on countries whose governments are not making significant efforts to meet the TVPAâ€™s minimum standards for the elimination of human trafficking.1 For this reason, the USG is committed to supporting our partners efforts to combat trafficking-in-persons </t>
  </si>
  <si>
    <t>Small Research Grant Program for the Next Generation of Researchers in Low- and Middle-Income Countries (LMICs) for Aging and Alzheimers Disease (AD) and AD-Related Dementias (ADRD) Research (R03 Clinical Trial Not Allowed)</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</si>
  <si>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eligible to apply.
Non-domestic (non-U.S.) components of U.S. Organizations are not eligible to apply.
Foreign components, as defined in the NIH Grants Policy Statement, are allowed.</t>
  </si>
  <si>
    <t>This notice of funding opportunity (NOFO) will support junior faculty investigators involved in aging and Alzheimer's Disease (AD) and AD-related dementia (ADRD) research from low- and middle-income countries (LMICs), as defined by the World Bank.  This NOFO will support proposals submitted from LMIC institutions. and through this NOFO, NIA will: 
(1) Support junior investigators from LMICs to conduct aging, AD and/or ADRD research in their respective LMICs; and 
(2) Support the career development of junior faculty investigators as future leaders in aging, AD and/or ADRD research from LMICs.  
In support of the program's goal, this NOFO invites applications that will yield pilot data, resources and experience for subsequent aging, AD and/or ADRD research projects. In addition, candidates are encouraged to seek out a supportive research environment that will achieve the goal of fostering the career development of junior investigators.</t>
  </si>
  <si>
    <t>Consortium for Neuroscience AD/ADRD in Low- and Middle-Income Countries  (U01 Clinical Trial Not Allowed)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</si>
  <si>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eligible to apply.
Non-domestic (non-U.S.) components of U.S. Organizations are not eligible to apply.
Foreign components, as defined in the NIH Grants Policy Statement, are allowed.</t>
  </si>
  <si>
    <t>This notice of funding opportunity (NOFO) promotes collaborative research programs to support innovative and sustainable Alzheimer's disease (AD) and AD-related dementias (AD/ADRD) (including frontotemporal dementia (FTD), Lewy body dementia (LBD), vascular cognitive impairment/dementia (VCID), and mixed etiology dementias (MEDs)) neuroscience research for experienced investigators in low- and middle-income countries (LMICs). These collaborative research programs are expected to contribute to the long-term goals of building sustainable AD/ADRD neuroscience capacity and research, ultimately leading to prevention and mitigation strategies for AD/ADRD in LMICs. This NOFO will support applications submitted from LMIC institutions. LMIC scientists are expected to collaborate with scientists from the United States.
Income categories for LMICs are defined by the World Bank athttp://data.worldbank.org/about/country-classifications/country-and-lending-groups.</t>
  </si>
  <si>
    <t>Energy Storage Pilot Demonstrations</t>
  </si>
  <si>
    <t>Energy Storage Pilot Demonstrations
This program will fund technology demonstrations for energy storage solutions at the pilot-scale. The program will focus on non-lithium technologies, long-duration (10+ hour discharge) systems, and stationary storage applications. 
This program seeks to:
-Advance a diverse set of non-lithium energy storage technologies towards commercial viability and utility-scale deployment.
-Generate high-quality operational datasets and techno-economic models.
-Build investor, utility, and other end user confidence in the real performance and adoptability of the proposed solutions.</t>
  </si>
  <si>
    <t>Ethical and Responsible Research</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</si>
  <si>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leadership of project teams are expected to have expertise in the STEM areas or fields on which the project focuses, and in ethics, values, evaluation, or pedagogy. For a Partnership for Transformational Research Project proposal, it is highly recommended that at least one senior member of the administration from each partnering organization serve as part of the research team s leadership.</t>
  </si>
  <si>
    <t>The ER2 program supports projects that focus on what constitutes or promotes responsible and ethical research in science, technology, engineering, and mathematics (STEM) fields. The ER2 program promotes the development, improvement, and dissemination of responsible and ethical research practices and aims to build on organizational cultures that value and reward such practices. Proposers to the ER2 program may examine responsible and ethical research practices across one or more career stages. This can include, for example, the research practices of students, postdoctoral fellows, faculty, or practitioners. ER2 projects could seek to improve responsible and ethical research practices in teams, organizations, or communities, or between researchers and the public. ER2 projects may include the development of interventions that promote responsible and ethical research practices, including in multidisciplinary, inter-organizational, cross-sector, translational, or international contexts. An ER2 project can also identify challenges that undermine or erode responsible and ethical research practices in STEM fields and evaluate measures to prevent or mitigate such challenges. A comprehensive approach to responsible and ethical research not only influences individual behavior, but it also contributes to an inclusive, equitable, and respectful research culture. Thus, proposers could examine organizational or other factors that positively influence responsible and ethical research practices in STEM fields.
Proposals from or involving substantial collaboration with organizations in EPSCoR-eligible jurisdictions, minority-serving institutions, women's colleges, or organizations primarily serving persons with disabilities are encouraged. Proposals that include international collaborations are encouraged if the unique resources, expertise, facilities, or locations of international partners enhance the merit of the proposed work. Please see the NSF PAPPG for guidance on international collaborations.</t>
  </si>
  <si>
    <t>Discovery Research PreK-12 Program Resource Center on Transformative Education Research and Translation</t>
  </si>
  <si>
    <t>This solicitation seeks proposals for the Discovery Research PreK-12 program s Resource Center (DRK-12 RC) onTransformative Education Research and Translation.
The DRK-12 RC will be an intellectual partner as NSF seeks to enhance the overall influence and reach of the DRK-12 Program s research and development investments. In this partner role, the DRK-12 RC will support and recruit diverse, multi-sector constituencies with the goal of achieving the field-, knowledge-, and partnership-building aims of the DRK-12 program. Further, it is expected that the Resource CenteronTransformative Education Research and Translation will play a central role in helping the DRK-12 Program to:
(1) identify and share promising resources, tools, approaches, and research findings with teachers, school leaders and administrators and policymakers for feedback, strategic use and the advancement of science;
(2) facilitate communication and collaboration among current, former, and prospective DRK-12 award recipients as a means of building STEM education researchers  capacity to conduct rigorous and meaningful work across the full range of project types supported by the program; and
(3) further raise the national visibility of the DRK-12 program's goals and impacts.
The DRK-12 RC is expected to work collaboratively with NSF and the DRK-12 Program s constituent communities including other NSF resource hubs and centers to design, implement, and evaluate these three broad activities.</t>
  </si>
  <si>
    <t>FY2024 Community Project Funding/Congressionally Directed Spending</t>
  </si>
  <si>
    <t>Unrestricted (i.e., open to any type of entity above), subject to any clarification in text field entitled "Additional Information on Eligibility" Only organizations named in Appendix 1, as specified in the Explanatory Statement for Division D of the Departments of Labor, Health and Human Services and Education, and Related Agencies Appropriations Act, 2024 are eligible for grant awards under this Training and Employment Guidance Letter. Applications submitted from organizations not listed in this table will not be considered for review.</t>
  </si>
  <si>
    <t>Questions regarding this Funding Opportunity Announcement (FOA) may be emailed to Community.Projects.ETA@dol.gov. We encourage prospective applicants and interested parties to use the Grants.gov subscription option to register for future updates provided for this particular FOA.</t>
  </si>
  <si>
    <t>ROSES 2024: A.60 Earth Action: Ecological Conservation</t>
  </si>
  <si>
    <t xml:space="preserve">Please note that this program requests optional Notices of Intent, which are due via NSPIRES by February 14, 2024. See the full posting on NSPIRES for details. 
NOTICE: Amended August 30, 2024. This amendment presents this new program element in ROSES-2024. Notices of intent are requested by February 14, 2025, and proposals are due March 14, 2025. Virtual meetings for potential proposers will occur Friday, November 15th (1-3 PM Eastern Time) and Monday, January 13th (1-3 PM Eastern Time). Connect information will be posted under other documents on the right side of this NSPIRES page no later than October 18, 2024. This program element has requirements that differ from and supersede the defaults in the ROSES Summary of Solicitation and the Proposerâ€™s Guide, e.g., cost sharing (Sections 3.1.5 and 3.1.6), the 3-page "End User Description Form" (Section 4.8), and use of the Earth Science Divisionâ€™s template for work effort and current and pending support, see Section 4.6. The completed End User Description Form must be uploaded as a separate document within the NSPIRES submission system. 
Proposers intending to use Grants.gov in lieu of NSPIRES must contact Keith Gaddis Keith.Gaddis@NASA.gov and cc sara@nasa.gov at least 30 days in advance of the proposal due date.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</si>
  <si>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Funding Opportunity Title:Deployed Warfighter Protection (DWFP) Program for the Protection of Deployed Military Personnel from Threats Posed by Arthropod Disease Vectors</t>
  </si>
  <si>
    <t>DOD</t>
  </si>
  <si>
    <t>Department of Defense</t>
  </si>
  <si>
    <t xml:space="preserve">Agency Name: U. S. Army Contracting Command, Aberdeen Proving Ground Edgewood Contracting Division, Fort Detrick  
Description: Applications to the Fiscal Year 2025 (FY25) Deployed Warfighter Protection (DWFP) Program are being solicited by the U.S. Army Contracting Command, Aberdeen Proving Ground, Edgewood Contracting Division, Fort Detrick (ACC-APG Edgewood) using delegated authority provided by United States Code, Title 10, Section 4001 (10 USC 4001). The execution management agent for this program announcement is the DWFP Program at the Armed Forces Pest Management Board (AFPMB). 
The mission of the DWFP Program is to protect deployed military personnel from arthropod vectors of medically relevant disease pathogens, including (but not limited to) arthropod disease vectors of mosquito-borne arboviruses and tick-borne pathogens, and nuisance biting arthropods. The DWFP Program seeks to fund original and innovative research that supports the Advanced Technology Development of new insecticides, or improved formulations of existing insecticides for vector control, new technology or enhanced modalities of personal protection from biting arthropods, or improved efficacy and sustainability of equipment for application of pesticides. 
To meet the intent of the FY25 DWFP Program Research Award, applications must address at least one of these FY25 DWFP Program Research Areas: bite prevention, vector control, decision support tools or software applications, vector surveillance and identification, and/or vector pathogen diagnostics. The proposed research is expected to be product-driven with a focus on multiple target arthropod genera and/or species, outcomes that are relevant for both military and civilian uses, and a strategy for subsequent registration by the U.S. Environmental Protection Agency (EPA), as applicable for pesticide end use products. 
Link to Additional Information: 
ebrap.org/eBRAP/public/ViewFile.htm?fileId=27395255 fileType=pdf  
Grantor Contact Information: 
If you have difficulty accessing the full announcement electronically, please contact: 
eBRAP Help Desk 
 Phone: 301-682-5507 
 Email: help@eBRAP.org 
Website: https://ebrap.org/eBRAP/public/Helpdesk.htm  
**See full announcement by downloading a copy of the Broad Agency Announcement for Fiscal Year 2025 by clicking on "related documents" and then clicking on file named AFPMB-BAA-25-01.pdf to download** 
</t>
  </si>
  <si>
    <t>NSF Trailblazer Engineering Impact Award (Trailblazer)</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</si>
  <si>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
 Institutions of Higher Education (IHEs) - Two- and four-year IHEs (including community colleges) accredited in, and having a campus located in the US, acting on behalf of their faculty members. 
*Who May Serve as PI:
The PI must hold a tenured or tenure-eligible faculty appointment at the Associate or Full Professor rank or equivalent at an organization that is eligible to submit as described under  Who May Submit Proposals.  Additionally, the PI must have an appointment in an Engineering School or College and/or have earned an Engineering Doctorate degree. If the proposal is submitted by a non-profit, non-academic organization, the PI must meet the following requirements: (1) the PI has a continuing appointment that is expected to last the 3 years of a TRAILBLAZER award; and (2) the appointment has substantial research responsibilities span class= TextRun Highlight SCXW173617513 BCX0  lang=  xml:lang=  data-contrast= 
 Prior or concurrent funding support for other projects that overlap with the proposed TRAILBLAZER project will preclude eligibility for a TRAILBLAZER award. 
 span class= TextRun Highlight SCXW173617513 BCX0  lang=  xml:lang=  data-contrast= span class= TextRun Highlight SCXW173617513 BCX0  lang=  xml:lang=  data-contrast= span class= TextRun Highlight SCXW173617513 BCX0  lang=  xml:lang=  data-contrast= span class= NormalTextRun TrackChangeHoverSelectHighlightBlue SCXW173617513 BCX0 span class= TrackChangeTextInsertion TrackedChange SCXW169867339 BCX0 span class= TextRun SCXW169867339 BCX0  lang=  xml:lang=  data-contrast= nly single PI TRA span class= TrackChangeTextInsertion TrackedChange SCXW169867339 BCX0 span class= TextRun SCXW169867339 BCX0  lang=  xml:lang=  data-contrast= ILBLAZER proposals will be accepted in response to this solicitation. span class= TrackChangeTextInsertion TrackedChange SCXW169867339 BCX0 span class= TextRun SCXW169867339 BCX0  lang=  xml:lang=  data-contrast= span class= TrackChangeTextInsertion TrackedChange SCXW169867339 BCX0 span class= TextRun SCXW169867339 BCX0  lang=  xml:lang=  data-contrast= ollaborative proposals span class= TrackChangeTextInsertion TrackedChange SCXW169867339 BCX0 span class= TextRun SCXW169867339 BCX0  lang=  xml:lang=  data-contrast= span class= TrackChangeTextInsertion TrackedChange SCXW169867339 BCX0 span class= TextRun SCXW169867339 BCX0  lang=  xml:lang=  data-contrast= as described in PAPPG Chapter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TrackChangeTextInsertion TrackedChange SCXW169867339 BCX0 span class= TextRun SCXW169867339 BCX0  lang=  xml:lang=  data-contrast= span class= TrackCha</t>
  </si>
  <si>
    <t>The NSF Trailblazer Engineering Impact Award (TRAILBLAZER) program supports individual investigators who propose novel research projects with the potential to innovatively and creatively address national needs and/or grand challenges, advance US leadership, and catalyze the convergence of engineering and science domains. TRAILBLAZER will support engineers and scientists who leverage their distinctive track record of innovation and creativity to pursue new research directions that are distinct from their previous or current research areas.
All funded TRAILBLAZER projects will form an NSF TRAILBLAZER cohort, and principal investigators will be expected to participate in an annual meeting. TRAILBLAZER investigators may also be invited to additional activities.
INFORMATIONAL WEBINAR:The Emerging Frontiers and Multidisciplinary Activities (EFMA) Office will host an informational webinar on October 15, 2024 to discuss the TRAILBLAZER program and answer questions about the FY 2025 TRAILBLAZER solicitation. Details on how to join this webinar will be posted on theDirectorate for Engineering and EFMA Websites.</t>
  </si>
  <si>
    <t>NOAA Great Lakes Fish Habitat Restoration Partnership Grants</t>
  </si>
  <si>
    <t>Others (see text field entitled "Additional Information on Eligibility" for clarification) Eligible applicants are institutions of higher education, non-profits, commercial (for profit) organizations, U.S. territories, and state, local and Native American tribal governments. Applications from federal agencies or employees of federal agencies will not be considered. Federal agencies are strongly encouraged to work with states, non- governmental organizations, municipal and county governments, and others that are eligible to apply. Eligible applicants may be located anywhere but must propose work within the Great Lakes basin and within one of the eight U.S. Great Lakes states (New York, Pennsylvania, Ohio, Michigan, Indiana, Illinois, Wisconsin, and Minnesota).</t>
  </si>
  <si>
    <t>The principal objective of the NOAA Great Lakes Fish Habitat Restoration Partnership Grants competition is to provide federal financial and technical assistance to habitat restoration projects that meet NOAA's mission to restore coastal habitats and support the Great Lakes Restoration Initiative (GLRI) (https://www.epa.gov/sites/default/files/2019-10/documents/glri-action-plan-3-201910-30pp.pdf) goal to protect and restore habitats to sustain healthy populations of native fish species in the eight U.S. Great Lakes states. Proposals submitted under this solicitation will be evaluated based on alignment with our program priorities, including: 1) contribution to GLRI Focus Area 1 (Toxic Substances and Areas of Concern) goals to implement management actions within Areas of Concern (AOC), and 2) contribution to GLRI Focus Area 4 (Habitats and Species) goals to restore habitat for native Great Lakes fish species whose populations have been impacted by habitat degradation. Through this solicitation, we intend to address GLRI Focus Area 4 goals by prioritizing a subset of habitat restoration projects identified by the Lake Committees as Environmental Priorities to meet fish community objectives for Great Lakes fish species. Lake Committees are composed of senior officials from state, provincial, and U.S. intertribal fishery agencies, convened by the Great Lakes Fishery Commission. Together, they are responsible for managing the Lakesâ€™ fisheries and developing plans and guidance to sustain healthy populations of Great Lakes commercial and recreational fish species. *Please note that the Project Abstract Summary Form is not required in the Application.</t>
  </si>
  <si>
    <t>Community-led Monitoring of Integrated Primary Health Care Services Activity (INTEG-CLM-PHC) in Burkina Faso</t>
  </si>
  <si>
    <t>Others (see text field entitled "Additional Information on Eligibility" for clarification) Eligibility for this NOFO is restricted to local entities in Burkina-Faso, subject to the terms and conditions mentioned in the NOFO.</t>
  </si>
  <si>
    <t>Primary health care (PHC) is a whole-of-society approach to effectively organize and strengthen national health systems to bring services for health and wellbeing closer to communities. PHC should ensure that health care is delivered in a way that is centered on peopleâ€™s needs and respects their preferences. The fundamental premise of PHC is that all people, everywhere, have the right to achieve the highest attainable level of health. Integrated health services help to meet the health needs of communities throughout their lives, addressing the broader determinants of health through multisectoral policy and action. PHC should empower individuals, families and communities to take charge of their own health.PHC services in Burkina-Faso often do not meet the needs of the communities they serve. Contributing factors include poor service quality, a lack of accountability among service providers, and insufficient community involvement in service delivery. These issues lead to decreased use of PHC services.Goal: The goal of INTEG-CLM-PHC is to increase community uptake of integrated PHC services at selected health facilities in Burkina-Faso.Objective: The objective of this activity is to improve the quality of integrated PHC services, ensuring they are responsive to the needs of the communities they serve, particularly vulnerable populations such as women, children, and people living with HIV/AIDS.</t>
  </si>
  <si>
    <t>Closing inequities in HIV Prevention, Care and Treatment among key populations in Burkina Faso Activity (Equity KP Burkina Faso)</t>
  </si>
  <si>
    <t>Others (see text field entitled "Additional Information on Eligibility" for clarification) Eligibility for this NOFO is restricted to local entities (Burkina Faso), subject to the terms and conditions mentioned in the NOFO. Local entities are defined in ADS 303.6(b) as follows:_x000D_
For the purposes of this section, local entity means an individual, a corporation, a _x000D_
nonprofit organization, or another body of persons that _x000D_
_x000D_
1)	is legally organized under the laws of, _x000D_
2)	has as its principal place of business or operations in, _x000D_
3)	is majority owned by individuals who are citizens or lawful permanent _x000D_
4)	residents of, and _x000D_
5)	managed by a governing body the majority of who are citizens or lawful _x000D_
6)	permanent residents of a country receiving assistance from funds appropriated under _x000D_
7)	title III of this Act._x000D_
_x000D_
Only Burkina Faso Non-US organizations may participate under this NOFO, subject to terms and conditions mentioned in the NOFO.</t>
  </si>
  <si>
    <t>The closing inequities in HIV prevention, care and treatment among key populations activity seeks to support the Governments of Togo and Burkina Faso and civil society organizations, to accelerate progress toward sustainably achieving HIV epidemic control among key populations (KP) by 2030. Equity KP Burkina Faso is a five-year cooperative agreement that will be issued to a local entity to accelerate progress toward achieving sustainable HIV epidemic control among Key populations by 2030. The Equity KP Burkina Faso activity will contribute to the following objectives: Provide quality, comprehensive HIV services to Key Populations (KP) and their sexual partners at community and facility levels.Â· Enhance the enabling environment for KP and their sexual partners.Â· Strengthen monitoring and evaluation, sustainability, and environmental compliance.Refer to Section A of attached NOFO for additional information</t>
  </si>
  <si>
    <t>Closing inequities in HIV Prevention, Care and Treatment among key populations in Togo Activity (Equity KP Togo)</t>
  </si>
  <si>
    <t>Others (see text field entitled "Additional Information on Eligibility" for clarification) Eligibility for this NOFO is restricted to local entities in Togo, subject to the terms and conditions mentioned in the NOFO. Local entities are defined in ADS 303.6(b) as follows:_x000D_
For the purposes of this section, local entity means an individual, a corporation, a _x000D_
nonprofit organization, or another body of persons that _x000D_
_x000D_
1)	is legally organized under the laws of, _x000D_
2)	has as its principal place of business or operations in, _x000D_
3)	is majority owned by individuals who are citizens or lawful permanent _x000D_
4)	residents of, and _x000D_
5)	managed by a governing body the majority of who are citizens or lawful _x000D_
6)	permanent residents of a country receiving assistance from funds appropriated under _x000D_
7)	title III of this Act._x000D_
_x000D_
Only Togo Non-US organizations may participate under this NOFO, subject to terms and conditions mentioned in the NOFO.</t>
  </si>
  <si>
    <t>The closing inequities in HIV prevention, care and treatment among key populations activity seeks to support the Governments of Togo and Burkina Faso and civil society organizations, to accelerate progress toward sustainably achieving HIV epidemic control among key populations (KP) by 2030. Equity KP Togo is a five-year cooperative agreement that will be issued to a local entity to accelerate progress toward achieving sustainable HIV epidemic control among Key populations by 2030. The Equity KP Togo activity will contribute to the following objectives: Provide quality, comprehensive HIV services to Key Populations (KP) and their sexual partners at community and facility levels.Â· Enhance the enabling environment for KP and their sexual partners.Â· Strengthen monitoring and evaluation, sustainability, and environmental compliance.Please refer to Section A of the attached NOFO for additional information</t>
  </si>
  <si>
    <t>Fiscal Year (FY) 2024 AmeriCorps State and National Competitive Grants</t>
  </si>
  <si>
    <t>AC</t>
  </si>
  <si>
    <t>AmeriCorps</t>
  </si>
  <si>
    <t>Nonprofits having a 501(c)(3) status with the IRS, other than institutions of higher education State Service Commission and/or States and US Territories</t>
  </si>
  <si>
    <t>AmeriCorps improves lives, strengthens communities, and fosters civic engagement through service and volunteering. AmeriCorps brings people together to tackle some of the countryâ€™s most pressing challenges through national service and volunteerism. AmeriCorps members serve with organizations dedicated to the improvement of communities and those serving. AmeriCorps grants are awarded to eligible organizations that engage AmeriCorps members in evidence-based or evidence-informed interventions to strengthen communities. An AmeriCorps member is a person who does community service through AmeriCorps. Members may receive a living allowance and other benefits. After successful completion of their service, members earn a Segal AmeriCorps Education Award they can use to pay for higher education expenses or apply to qualified student loans.</t>
  </si>
  <si>
    <t>Mid-scale Research Infrastructure-1</t>
  </si>
  <si>
    <t>Others (see text field entitled "Additional Information on Eligibility" for clarification) *Who May Submit Proposals: Proposals may only be submitted by the following:
  -
Proposals may only be submitted by organizations located in the United States, its territories, or possessions, as follows.
 Institutions of higher education (Ph.D.-granting and non-Ph.D.-granting), acting on behalf of their faculty members, that are accredited in and have their main campus in the United States, its territories, or possessions. Distinct academic campuses (e.g., that award their own degrees, have independent administrative structures, admissions policies, alumni associations, etc.) within multi-campus systems qualify as separate submission-eligible institutions. 
 Not-for-profit, non-degree-granting domestic U.S. organizations, acting on behalf of their employees, for example (but not limited to) independent museums and science centers, observatories, research laboratories and similar organizations that are directly associated with the Nation's research activities. These organizations must have an independent, permanent administrative organization (e.g., a sponsored projects office) located in the United States, its territories, or possessions, and have 501(c)(3) tax status. 
 Consortia as follows: 
 p style= padding-left: 30px; a) A legally incorporated, not-for-profit consortium that includes two or more submission-eligible organizations as described in items (1) and (2) above. Such a consortium is one with an independent administrative structure (e.g., a sponsored projects office) located in the United States, its territories, or possessions and has 501(c)(3) status.
 p style= padding-left: 30px; b) Submission-eligible organizations as described in items (1) and (2) above, on behalf of an informal consortium. The Cover Sheet of such a proposal must identify both a PI and co-PI(s) from at least two Mid-scale RI-1 submission-eligible organizations (items 1 and/or 2 above) as lead investigators in the consortium. These consortium proposals may also include as partners, via subawards,other U.S. and non-U.S. organizations that are not eligible to submit Mid-scale RI-1 proposals.
 p style= padding-left: 30px; In either case, the proposal title should indicate that a consortium is proposing.
 p class= For-profit commercial organizations, especially U.S. small businesses with strong capabilities in scientific or engineering research or education, are eligible for infrastructure support through subawards/subcontracts as private sector partners with submitting organizations; they may not submit proposals in response to this solicitation. Such partnerships must be substantive and meaningful and build capacity for infrastructure development withinMid-scale RI-1 submission-eligible organization(s). In addition, the value added by the for-profit commercial organization should be justified as a unique contribution that is otherwise unavailable within organizations described in (1) and (2). Unless otherwise specified in the award, title to the resulting infrastructure should be retained by the Mid-scale RI-1-eligible performing organization. Prospective PIs may contact cognizantMid-scale RI-1 program officers regarding organizational eligibility, and for information on other NSF funding opportunities for instrumentation and research infrastructure.
 p class= Additionally:
 Proposals that augment MREFC projects: The Mid-scale RI-1 program will not accept proposals for an instrument or other infrastructure that augments an ongoing NSF Major Multi-user Facility or Mid-scale RI-2 project in the construction stage, since the scope of those projects is already defined. A list of Major Facilities projects is available at  a href=  and the  a href= BooleanR</t>
  </si>
  <si>
    <t>NSF-supported science and engineering research increasingly relies on cutting-edge infrastructure. With its Major Research Instrumentation (MRI) program and Major Multi-user Facilities ("Major Facilities") projects, NSF supports infrastructure projects at the lower and higher range of infrastructure project costs, Foundation-wide, across science and engineering research disciplines. The Foundation-wide Mid-scale Research Infrastructure opportunity is intended to provide NSF with an agile, Foundation-wide process to fund experimental research capabilities in the mid-scale range between MRI and Major Multi-user Facilities.
NSF defines Research Infrastructure (RI) as any combination of facilities, equipment, instrumentation, or computational hardware or software, and the necessary human capital in support of the same. Major facilities and mid-scale projects are subsets of research infrastructure. The NSF Mid-scale Research Infrastructure-1 Program (Mid-scale RI-1) supports either design activities or implementation of unique and compelling RI projects. Mid-scale implementation projects may include any combination of equipment, instrumentation, cyberinfrastructure, broadly used large scale datasets and the personnel needed to successfully commission the project. Mid-scale RI-1 design activities include the design efforts intended to lead to eventual implementation of a mid-scale class RI project. Mid-scale RI-1 projects should involve the training of a diverse workforce engaged in the design and implementation of STEM research infrastructure. Mid-scale RI-1 projects should directly enable advances in any of the research domains supported by NSF. Projects may also include upgrades to existing research infrastructure.
Mid-scale RI-1 emphasizes strong scientific merit, a response to an identified need of the research community and/or fulfillment of a national need to enable U.S. researchers to be competitive in a global research environment. Well-conceived technical and management plans are essential for both design and implementation proposals, as are well-developed plans (e.g., mentoring and professional development) for student training and the involvement of a diverse STEM workforce in all aspects of mid-scale design and/or implementation activities. The inclusion of individual project participants that will lead to a supportive working environment is especially encouraged at all levels of the project team.
Within Mid-scale RI-1, proposers may submit two types of projects,   (e.g., acquisition and/or construction) or  . The   track is intended to facilitate progress toward readiness for a mid-scale range implementation project. Both Implementation projects and Design activities may involve new or upgraded research infrastructure. Mid-scale RI-1 "Implementation" projects may have a total project cost ranging from $4 million up to but not including $20 million. Mid-scale RI-1 "Design" activities may request less than $4 million, with a minimum request of $400,000 and a maximum request up to but not including $20 million, as appropriate, to prepare for a future mid-scale range implementation project. Note: Successful award of a Mid-scale RI-1 design activity does not imply NSF's commitment to the future implementation of the project being designed, nor is a Mid-scale RI-1 design award required for the submission of an implementation project.
The Mid-scale RI-1 Program seeks to broaden the representation of PIs and institutions in its award portfolio, including a geographically diverse set of institutions (especially those in EPSCoR jurisdictions). Proposals submitted by, or involving partnerships between institutions are encouraged. Participation in this opportunity is encouraged for the full spectrum of diverse talent society has to offer to include PIs who are women, early-career researchers, persons with disabilities, or members of other groups underrepresented in STEM. To improve participation in science and engineering research for persons with disabilities, Mid-scale RI-1 encourages PIs to incorporate accessibility as part of Mid-scale RI-1 design activity and implementation projects.
Please consult NSF's Research Infrastructure Guide, or RIG (available at https://www.nsf.gov/bfa/lfo/lfo_documents.jsp), for definitions of certain terms used in this solicitation, such as the Project Execution Plan (PEP) and Design and Execution Plan (DEP). The RIG provides guidance specific to Mid-scale Research Infrastructure Projects, including references to other parts of the RIG as needed. Note that PEP or DEP should be appropriately scaled for the complexity of the project and may not require all of the elements described in the RIG.
Mid-scale research infrastructure projects with total project costs beyond the Mid-scale RI-1 Program limit are separately solicited through the Mid-scale RI-2 Program. Proposals to the Mid-scale RI-1 Program with total project costs outside of this solicitation's budgetary limits, either during initial submission or after cost analyses/revisions during subsequent review, are subject to return without further review.</t>
  </si>
  <si>
    <t>Cell and Gene Therapy (CGT) Access Model</t>
  </si>
  <si>
    <t>State governments Eligible applicants are States, the District of Columbia, and any U.S. Territory participating in the Medicaid Drug Rebate Program (MDRP).</t>
  </si>
  <si>
    <t>This Notice of Funding Opportunity (NOFO) announces the opportunity to apply for Cooperative Agreement funding to support States participation in the Cell and Gene Therapy (CGT) Access Model (the CGT Access Model or the Model). Eligible applicants are States, the District of Columbia, and any U.S. territory that participates in the Medicaid Drug Rebate Program (MDRP). A maximum of $9.55 million may be awarded to each Recipient, depending on the number of States that apply for funding, pending availability of funds.</t>
  </si>
  <si>
    <t>Computational and Data-Enabled Science and Engineering</t>
  </si>
  <si>
    <t xml:space="preserve">Large-scale simulations and the ability to accumulate massive amounts of data have revolutionized science and engineering. The goal of the Computational and Data-enabled Science and Engineering (CDS E) meta-program is to identify and capitalize on opportunities for major scientific and engineering breakthroughs through new computational and data-analysis approaches and best practices. The CDS E meta-program supports projects that harness computation and data to advance knowledge and accelerate discovery above and beyond the goals of the participating individual programs. The intellectual drivers may be in an individual discipline or cut across more than one discipline in various Divisions and Directorates. A CDS E proposal should enable and/or utilize the development and adaptation of advances in research and infrastructure in computational and data science.
The CDS E meta-program encourages research that pushes the envelope of science and engineering through computation and data, welcoming proposals in any research area supported by the participating divisions. A proposal may address topics that develop or enable interactions among theory, computing, experiment, and observation to achieve progress on hitherto intractable science and engineering problems. Areas of emphasis for CDS E vary by program. PIs are advised to consult the "related programs" links below before submitting.
The CDS E meta-program is not intended to replace existing programs that support projects involving computation or the analysis of large or complex data sets using established methods. Rather, proposals submitted to the CDS E meta-program must have a significant component of computational or data science that goes well beyond what would typically be included in these programs.Any proposal submitted to the CDS E program that is not responsive to this Program Description may be transferred to or reviewed within the context of an individual program. A proposal requesting consideration within the context of CDS E should begin the title with the identifying acronym "CDS E:". Supplement requests to existing awards may also be considered. A CDS E proposal should include substantive science, engineering, or computing research. Algorithm and pilot software development supporting science and engineering may also be appropriate, depending on the program. Proposers who seek to implement proven, existing methods into robust cyberinfrastructure are referred instead to the program on Cyberinfrastructure for Sustained Scientific Innovation (CSSI).
A CDS E proposal should be submitted to one of the "Related Programs" or Divisions by the associated submission window, deadline, or target date listed in the table below. In picking the most relevant program, PIs are advised to read program descriptions and solicitations carefully and consult with cognizant Program Officers before proposal preparation. Proposal submissions outside the receiving program's scientific scope may be transferred to a different program or returned without review.
Due Dates
DirectorateDivision and ProgramSubmission Window or Target Date
ENG
Division of Chemical, Bioengineering, Environmental, and Transport Systems
 September 01, 2024 - September 16, 2024
 September 01- September 15, Annually Thereafter
ENG
Division of Civil, Mechanical and Manufacturing Innovation
 September 01, 2024 - September 16, 2024
 September 01- September 15, Annually Thereafter
MPS
Division of Chemistry - Chemical Catalysis (CAT), Chemical Mechanism, Function, and Properties (CMFP), Chemical Synthesis (SYN)
 September 01, 2024 - September 30, 2024
 September 01 - September 30, Annually Thereafter
MPS
Division of Materials Research
 October 15, 2024
 October 15, Annually Thereafter
MPS
Division of Astronomical Sciences - Advanced Technologies and Instrumentation
 October 01, 2024 - November 15, 2024
 October 01 - November 15, Annually Thereafter
MPS
Division of Chemistry - Chemical Measurement and Imaging (CMI), Environmental Chemical Sciences (ECS), and Macromolecular, Supramolecular and Nanochemistry (MSN)
 October 01, 2024 - October 31, 2024
 October 1 - October 31, Annually Thereafter
MPS
Division of Mathematical Sciences
 October 15, 2024 - October 31, 2024
 October 15 - October 31, Annually Thereafter
MPS
Division of Astronomical Sciences - Astronomy and Astrophysics Research Grants
 October 01, 2024 - November 15, 2024
 October 01 - November 15, Annually Thereafter
MPS
Division of Physics: Investigator-Initiated Research Projects   Plasma Physics program
 November 20, 2024,
 Third Monday in November, Annually Thereafter
MPS
Division of Chemistry - Chemistry of Life Processes (CLP), Chemical Structure and Dynamics (CSD), Chemical Theory, Models and Computational Methods (CTMC)
 Full proposals accepted anytime
</t>
  </si>
  <si>
    <t>Advancing Research on Molecular Targets and Mechanisms that Influence the Interplay Between Sex Hormones, HIV, and Addictive Substances (R21 Clinical Trials Not Allowed)</t>
  </si>
  <si>
    <t>The purpose of this notice of funding opportunity (NOFO) is to support studies to delineate the mechanisms by which sex hormones influence the consequences of comorbid HIV and drug use and use this knowledge to explore biological mechanisms as potential therapeutic targets to address HIV-substance use disorders (SUD) comorbidity.
This NOFO requires a Plan for Enhancing Diverse Perspectives (PEDP), which will be assessed as part of the scientific and technical peer review evaluation. Applications that fail to include a PEDP will be considered incomplete and will be withdrawn.
Applicants are strongly encouraged to read the NOFO instructions carefully and view the available PEDP guidance material.</t>
  </si>
  <si>
    <t>Advancing Research on Molecular Targets and Mechanisms that Influence the Interplay Between Sex Hormones, HIV, and Addictive Substances (R01 Clinical Trials Not Allowed)</t>
  </si>
  <si>
    <t>B.21 Heliophysics Citizen Science Investigations</t>
  </si>
  <si>
    <t>Climate Program Office FY2025 Climate Variability and Predictability (CVP) Program: TEPEX-E</t>
  </si>
  <si>
    <t>Others (see text field entitled "Additional Information on Eligibility" for clarification) Eligible applicants are institutions of higher education, other nonprofits, commercial organizations, international organizations, and state, local and federally recognized tribal governments. Federal agencies or institutions are not eligible to receive Federal assistance under this notice. (See  special instructions for federal applicants  on the CPO website.)</t>
  </si>
  <si>
    <t xml:space="preserve">CPO plays a critical role in advancing science and informing decisions for climate adaptation, resilience, and mitigation as part of NOAA and the U.S. Global Change Research Program. CPO research/science programs and activities meet urgent climate challenges, and incubate innovative advancements in Earth system and social sciences; support world-class assessment reports, including the National Climate Assessment; enhance and expand NOAAâ€™s capabilities for integrated information systems for drought, heat and floods to deliver timely science-based information that can reduce the impacts and costs of these climate-driven challenges; educate and grow the next generation of experts in support of NOAAâ€™s climate mission. Through these new investments, CPO expands previous efforts focused on climate risks to address a suite of urgent climate-driven societal challenges faced by our Nation â€” including water availability and quality, marine and freshwater ecosystems, coastal changes and inundation, drought and extreme heat and related cascading hazards like wildfire, and air quality, and climate mitigation (more information about CPO Societal Challenges and Risks framework can be found here. 
NOAA, OAR, and CPO require applicants and awardees to support the principles of diversity and inclusion when writing their proposals and performing their work; indeed, applicants will be evaluated, in part, on how well principles of diversity and inclusion are addressed. Diversity is defined as a collection of individual attributes that together help organizations achieve objectives. Inclusion is defined as a culture that connects each employee to the organization. Promoting diversity and inclusion improves creativity, productivity, and the vitality of the climate research community in which CPO engages. 
</t>
  </si>
  <si>
    <t>Climate Program Office FY2025 Climate Variability and Predictability (CVP) Program: TEPEX-C</t>
  </si>
  <si>
    <t>Regional Resilience Innovation Incubator</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</si>
  <si>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NSF sponsored Federally Funded Research and Development Centers (FFRDCs) may submit proposals provided that they do not include costs for which federal funds have already been awarded or are expected to be awarded.
*Who May Serve as PI:
The PI and any Co-PIs must hold an appointment at an organization that is eligible to submit as described under  Who May Submit Proposals.  At least one PI or Co-PI from a Phase-1 award must be included as a PI or Co-PI on the Phase-2 proposal that is based on that Phase-1 award. The same individual who served as PI for the Phase-1 award does not have to be PI for the Phase-2 proposal, however any change of PI and Co-PI should be fully explained in the Phase-2 proposal.</t>
  </si>
  <si>
    <t xml:space="preserve">
The Regional Resilience Innovation Incubators (R2I2) is a cross-directorate NSF solicitation led by the Directorate for Geosciences (GEO) and the Directorate for Technology, Innovation and Partnerships (TIP). R2I2 will support community- engaged team science to co-design high-impact solutions to climate-related societal challenges that leverage recent advances in fundamental climate change and Earth system science research. Each R2I2 project will address specific regional climate challenges and will develop and demonstrate solutions to those challenges that can be effectively applied in real- world settings. Investment in R2I2 will leverage past federal investments in addressing climate change and will provide a bridge connecting advancements in basic science with local knowledge, informed decision making, and technological innovations for societal applications.
R2I2 will be implemented in two phases, concept creation and implementation. This solicitation, focused on Phase-1, will fund a series of pilot projects focusing on project concept creation and refinement for solutions specific to a U.S. climate region.
Targeted areas for establishing R2I2 incubators will be based on ten climate regions defined by the Fifth National Climate Assessment (Table 1.1): Northeast, Southeast, U.S. Caribbean, Midwest, Northern Great Plains, Southern Great Plains, Northwest, Southwest, Alaska, and Hawaii   U.S. Affiliated Pacific Islands. Although geographic diversity will be a factor considered when determining the portfolio of awards, the review process may result in funding multiple projects in one climate region and none in others. Individual R2I2 projects may propose solutions that apply to more than one climate region defined above. This solicitation will also fund an award for the creation of a R2I2 National Office (RNO) to support the collective and coordinated implementation of R2I2 award activities.
NSF envisions the release of a separate solicitation for Phase-2 implementation projects in fiscal year 2026, subject to the availability of funds. Only Phase-1 award recipients will be eligible to submit Phase-2 proposals. Phase-2 awards will be selected based on a merit review of Phase-2 proposals and performance during Phase-1.</t>
  </si>
  <si>
    <t>Class of 2025 Vannevar Bush Faculty Fellowship (VBFF)</t>
  </si>
  <si>
    <t>DOD-ONR</t>
  </si>
  <si>
    <t>Office of Naval Research</t>
  </si>
  <si>
    <t>Background
Before World War I, Dr. Vannevar Bush (1890-1974) was a professor and Dean of Engineering at the Massachusetts Institute of Technology, and founded a large defense and electronics company. He was a forward-thinking policymaker who, during World War II, went on to serve as the director of the U.S. Defense Departmentâ€™s Office of Scientific Research and Development, coordinating the work of thousands of scientists in the service of ending the war. In his 1945 report to the President of the United States, Science, â€œThe Endless Frontierâ€, Bush called for an expansion of government support for science, and he pressed for the creation of the National Science Foundation (NSF). Dr. Bush was concerned about how the scientific research supported by the Department of Defense (DoD) during WWII could be sustained with a focus on peacetime goals. He believed that basic research was â€œthe pacemaker of technological progressâ€. â€œNew products and new processes do not appear full-grownâ€, Bush wrote. â€œThey are founded on new principles and new conceptions, which in turn are painstakingly developed by research in the purest realms of scienceâ€.
Dr. Bushâ€™s life work embodies the spirit of this research program, formerly known as the National Security Science and Engineering Faculty Fellowship (NSSEFF). Therefore, in his in his honor, the name was changed to the Vannevar Bush Faculty Fellowship (VBFF) program (https://www.defense.gov/News/Article/Article/955536/dod-debuts-vannevar-bush-faculty-fellowship).
Research Objectives
The VBFF program is sponsored by the Basic Research Office, Office of the Under Secretary of Defense for Research and Engineering (USD (R E)). VBFF supports innovative basic research within academia, as well as opportunities intended to develop the next generation of scientists and engineers for the defense workforce.
The Office of Naval Research (ONR) manages the VBFF program for USD (R E). To accomplish this task, ONR is soliciting proposals for the VBFF program through this FOA. This FOA seeks distinguished researchers for the purpose of conducting innovative basic research in areas of interest to the DoD and fostering long-term relationships between the VBFF Fellows and the DoD.</t>
  </si>
  <si>
    <t>FY25 NOAA Marine Debris Removal under the Bipartisan Infrastructure Law</t>
  </si>
  <si>
    <t>Others (see text field entitled "Additional Information on Eligibility" for clarification) As outlined in the Marine Debris Act, eligible applicants from the United States, its territories, or Freely Associated States include: 	State, local, Tribal, and territory governments whose activities affect research or regulation of marine debris 	Federally and non-federally recognized Tribes and Native or Indigenous organizations 	Institutes of higher education 	Nonprofit organizations 	Commercial (for-profit) organizations with expertise in marine debris removalsApplications from federal agencies or employees of federal agencies will NOT be considered. Interested federal agencies may collaborate with eligible applicants but may not receive funds through this competition. Foreign organizations and foreign public entities (see 2 CFR 200.1) from outside of the freely associated states are not eligible to apply.     NOAA is strongly committed to broadening the participation of veterans, minority-serving institutions, Tribes, and entities that work in communities facing environmental/climate and socioeconomic burdens. The NOAA MDP encourages applicants of all backgrounds, circumstances, perspectives, and ways of thinking to apply.  To be eligible to apply or receive an award, applicant organizations must complete and maintain three registrations; SAM.gov, Grants.gov, and eRA Commons. All registrations must be completed prior to the application being submitted. The complete registration process for all three systems can take 4 to 6 weeks, so applicants must begin this activity as soon as possible and well before the proposal due date.Prior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the  Full Proposal Requirements  section below. Other criteria that may affect eligibility include: 	Applicants proposing applications to renew or supplement previously-awarded NOAA projects are allowed; however such proposals will be subject to the competitive process and will not receive preferential treatment. 	This funding opportunity is not intended for removal efforts in non-coastal states or inland areas outside the Great Lakes watershed. 	Project activities must benefit NOAA trust resources and take place within the United States, its territories, or Freely Associated States. Projects proposing removals in international waters, including the Great Pacific Garbage Patch, are not eligible.  	Applications that target large debris removals that will simultaneously collect smaller scale debris are eligible, but the focus of the proposed work and benefits should be on the large scale marine debris removals. 	Applications addressing microplastics or microfibers are not priorities for this solicitation and will be withdrawn from the review, as will research and development proposals. 	Funding for the development of new marine debris databases will not be awarded through this competition.  	Activities that are eligible for removal and reimbursement under a Federal Disaster Declaration will not be considered for use of federal dollars under project awards in this competition.</t>
  </si>
  <si>
    <t>This funding opportunity requires a Letter of Intent (LOI) to be submitted to for competitive review before a full proposal can be submitted. LOIs must be submitted no later than 11:59 p.m. Eastern time, September 27, 2024. If invited, full proposals must then be submitted in Grants.gov (http://www.grants.gov) and validated by eRA on or before 11:59 p.m. Eastern time, January 31, 2025. 
The NOAA Marine Debris Program (MDP) is a division of the NOAA Office of Response and Restoration. Authorized in the Marine Debris Act, codified at 33 U.S.C. Â§ 1951 et seq., the NOAA MDP supports the development and implementation of marine debris assessment, removal, and prevention projects that benefit coastal habitat, waterways, and marine and Great Lake resources. Marine debris is defined as "any persistent solid material that is manufactured or processed and directly or indirectly, intentionally or unintentionally, disposed of or abandoned into the marine environment or the Great Lakes" (15 C.F.R. Â§ 909.1). The mission of the NOAA MDP is to investigate and prevent the adverse impacts of marine debris.  
Through this solicitation, NOAA seeks to support large marine debris removal projects with funding available through the Bipartisan Infrastructure Law (PL 117-58). The overall objective of this funding opportunity is to support impactful, large marine debris removal projects that will improve the resilience of the coastal and marine environment. This competition considers impactful projects to be those that will have long-lasting, transformational benefits to marine and coastal NOAA Trust Resources, coastal communities, and/or local economies.  
The Notice of Funding Opportunity (NOFO) describes the types of projects that are eligible for funding, as well as the proposal requirements and how applications will be evaluated. NOAA anticipates up to $47,000,000 will be available for this grant solicitation. The minimum federal request for this solicitation is $1,000,000. The maximum federal request is $10,000,000. The typical funding request will range from $2,000,000 to $6,000,000. Proposals requesting over $6,000,000 are expected to be proposals including a subaward competition for other organizations to identify and apply for funding for localized removal activities. Proposals requesting over $6,000,000 solely identifying marine debris targets for direct removal organized by the applicant should provide a detailed justification for why this amount of funding is needed. The exact amount of funds to be awarded and the number of awards made will be at the discretion of NOAA following pre-award negotiations with highly meritorious applicants.</t>
  </si>
  <si>
    <t>FY25 NOAA Marine Debris Interception Technologies under the Bipartisan Infrastructure Law</t>
  </si>
  <si>
    <t>Others (see text field entitled "Additional Information on Eligibility" for clarification) As outlined in the Marine Debris Act, eligible applicants from the United States, its territories, or Freely Associated States include: 	State, local, Tribal, and territory governments whose activities affect research or regulation of marine debris 	Federally and non-federally recognized Tribes and Native or Indigenous organizations 	Institutes of higher education 	Nonprofit organizations 	Commercial (for-profit) organizationsApplications from federal agencies or employees of federal agencies will NOT be considered. Interested federal agencies may collaborate with eligible applicants but may not receive funds through this competition. Foreign organizations and foreign public entities (see 2 CFR 200.1) from outside of the freely associated states are not eligible to apply.     NOAA is strongly committed to broadening the participation of veterans, minority-serving institutions, Tribes, and entities that work in communities facing environmental/climate and socioeconomic burdens. The NOAA MDP encourages applicants of all backgrounds, circumstances, perspectives, and ways of thinking to apply.To be eligible to apply or receive an award, applicant organizations must complete and maintain three registrations; SAM.gov, Grants.gov, and eRA Commons. All registrations must be completed prior to the application being submitted. The complete registration process for all three systems can take 4 to 6 weeks, so applicants must begin this activity as soon as possible and well before the proposal due date.Prior to registering with eRA Commons, applicant organizations must first obtain a Unique Entity Identifier (UEI) from SAM.gov, if needed (refer to Section IV. Applications and Submission Information, Section C). Organizations can register with eRA Commons in tandem with completing their full SAM and Grants.gov registrations; however, all registrations must be in place by time of application submission. eRA Commons requires organizations to identify at least one Signing Official (SO) and at least one Program Director/Principal Investigator (PD/PI) account in order to submit an application.For more information on how to meet these registration and application submission requirements without errors, we advise all to carefully review relevant Applicant and Grantee Training modules: https://www.commerce.gov/ocio/programs/gems/applicant-and-grantee-training. Additionally, we advise that all carefully read the  Full Proposal Requirements  section belowOther criteria that may affect eligibility include: 	Applicants proposing applications to renew or supplement previously-awarded NOAA projects are allowed; however such proposals will be subject to the competitive process and will not receive preferential treatment. 	This funding opportunity is not intended to support interception projects in non-coastal states or areas outside the Great Lakes watershed. 	Project activities must directly benefit NOAA trust resources and take place within the United States, its territories, or Freely Associated States. Projects proposing removals in international waters, including the Great Pacific Garbage Patch, are not eligible.  	Funding for research and development, or deployment of unproven devices (those that have not been used successfully in the type of environment in which they are being proposed) will not be awarded through this competition. 	Applications addressing microplastics or microfibers are not priorities for this solicitation and will be withdrawn from the review. 	Additionally, the installation of infrastructure for large-scale stormwater management is not a priority for this solicitation and will be withdrawn from review. 	Activities that are eligible for removal and reimbursement under a Federal Disaster Declaration will not be considered for use of federal dollars under project awards in this competition</t>
  </si>
  <si>
    <t xml:space="preserve">This funding opportunity requires a Letter of Intent (LOI) to be submitted to for competitive review before a full proposal can be submitted. LOIs must be submitted no later than 11:59 p.m. Eastern time, October 9th, 2024. If invited, full proposals must then be submitted in Grants.gov (http://www.grants.gov) and validated by eRA on or before 11:59 p.m. Eastern time, February 7th, 2025. 
The NOAA Marine Debris Program (MDP) is a division of the NOAA Office of Response and Restoration. Authorized in the Marine Debris Act, codified at 33 U.S.C. Â§ 1951 et seq., the NOAA MDP supports the development and implementation of marine debris assessment, removal, and prevention projects that benefit coastal habitat, waterways, and marine and Great Lake resources. Marine debris is defined as "any persistent solid material that is manufactured or processed and directly or indirectly, intentionally or unintentionally, disposed of or abandoned into the marine environment or the Great Lakes" (15 C.F.R. Â§ 909.1). The mission of the NOAA MDP is to investigate and prevent the adverse impacts of marine debris.  
Through this solicitation, NOAA seeks to support marine debris removal projects with funding available through the Bipartisan Infrastructure Law (PL 117-58). The overall objective of this funding opportunity is to support the installation, monitoring, and maintenance of proven marine debris interception technologies to benefit marine and coastal NOAA trust resources.  
The Notice of Funding Opportunity (NOFO) describes the types of projects that are eligible for funding, as well as the proposal requirements and how applications will be evaluated. NOAA anticipates up to $7,000,000 will be available for this grant solicitation. The minimum federal request for this solicitation is $100,000. The maximum federal request is $1,000,000. The typical funding request will range from $250,000 to $750,000. The exact amount of funds to be awarded and the number of awards made will be at the discretion of NOAA following pre-award negotiations with highly meritorious applicants. 
</t>
  </si>
  <si>
    <t>ROSES 2024: C.20 Interdisciplinary Consortia for Astrobiology Research</t>
  </si>
  <si>
    <t xml:space="preserve">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</si>
  <si>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Local Partner Fund (LPF)</t>
  </si>
  <si>
    <t>Others (see text field entitled "Additional Information on Eligibility" for clarification) Local entities in DRC and CAR</t>
  </si>
  <si>
    <t xml:space="preserve">USAID LPF will advance USAID DRC localization agenda by addressing competition requirements and allowing an open solicitation process to receive concepts for partnering with local organizations and increasing their ability to generate and achieve locally led solutions to major development challenges, and by providing direct awards to local organizations to implement activities. USAID LPF will work in tandem with USAID Localization Capacity Strengthening Mechanism to respond to capacity building needs in partner organizations and help to strengthen the abilities of local partners beyond the donor-awardee relationship in a way that guarantees consistency, mutual accountability, and sustainability. USAID LPF will consider inclusive development as a key element of USAID local programming across the DRC and CAR, and will foster collaboration, learning, and adapting, as prerequisites for successful implementation. </t>
  </si>
  <si>
    <t>ROSES 2024: A.14 Integrated Water Field Campaign</t>
  </si>
  <si>
    <t xml:space="preserve">NOTICE: Amended January 10, 2025. The due date for proposals has been deferred to February 12, 2025. Also, references to the now defunct Proposer's Guide have been replaced with ones to the new NASA Grant and Cooperative Agreement Manual (GCAM). New text is in bold and deleted text is struck through. 
PLEASE NOTE: this program has MANDATORY Notices of Intent, which are due via NSPIRES by November 26,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</si>
  <si>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National Leadership Grants for Libraries (2025)</t>
  </si>
  <si>
    <t>IMLS</t>
  </si>
  <si>
    <t>Institute of Museum and Library Services</t>
  </si>
  <si>
    <t>Others (see text field entitled "Additional Information on Eligibility" for clarification) See the Notice of Funding Opportunity for eligibility requirements.</t>
  </si>
  <si>
    <t>The National Leadership Grants for Libraries Program (NLG-L) enhances the quality of library services for the American public by addressing critical needs in the library and archives fields. The models, tools, research findings, services, and partnerships resulting from these awards can be widely used, adapted, scaled, or replicated to extend and maximize public benefit.</t>
  </si>
  <si>
    <t>Laura Bush 21st Century Librarian Program (2025)</t>
  </si>
  <si>
    <t>The Laura Bush 21st Century Librarian Program (LB21) supports the training and professional development of library and archives professionals; developing faculty and information leaders; and recruiting, educating, and retaining the next generation of library and archives professionals in order to develop a diverse library and archival workforce and meet the information needs of their communities.</t>
  </si>
  <si>
    <t>Notice of Intent to Issue Funding Opportunity Announcement (FOA) number DE-FOA-0003343 entitled Undocumented Orphaned Well Research and Development</t>
  </si>
  <si>
    <t>Notice of Intent to Issue Funding Opportunity Announcement No. DE-FOA-0003343 entitled Undocumented Orphaned Well Research and Development.
This Notice of Intent to Issue is for informational purposes only; the Department of Energy is not seeking comments on the information in this notice and applications are not being accepted at this time. Any information contained in this notice is subject to change.
The objective of this FOA is to competitively solicit cost-shared research and development (R&amp;D) proposals to enhance technologies and processes for effective characterization of undocumented orphaned wells (UOWs); improve advanced sensors for the measurement, estimation, and tracking of methane emissions from these wells and their associated infrastructure; and support the development of new characterization concepts and advanced materials for more efficient and cost-effective permanent plugging and abandonment (P&amp;A) of such wells.</t>
  </si>
  <si>
    <t>ROSES 2024: D.20 Exoplanet Mass Measurement Program</t>
  </si>
  <si>
    <t xml:space="preserve">PLEASE NOTE: this program has MANDATORY Notices of Intent, which are due via NSPIRES by January 23,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</si>
  <si>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A.36 The Science of PACE</t>
  </si>
  <si>
    <t xml:space="preserve">Please note that this program requests optional Notices of Intent, which are due via NSPIRES by October 1,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</si>
  <si>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BRAIN Initiative: Brain Behavior Quantification and Synchronization (R61/R33 Clinical Trial Optional)</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</si>
  <si>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</si>
  <si>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goal of this effort is to support the development and validation of next generation platforms and analytic approaches to precisely quantify behaviors in humans and link them with simultaneously recorded brain activity. Tools used for analyzing behavior should be multi-modal and should be able to be linked to brain activity and thus have the accuracy, specificity, temporal resolution, and flexibility commensurate with tools used to measure and modulate the brain circuits that give rise to those behaviors. This phased award will support novel tool development (i.e., hardware/software) in the R61 phase and synchronization of novel tools for measuring behavior and human brain activity in the R33 phase.</t>
  </si>
  <si>
    <t>Research on the Science and Technology Enterprise: Indicators, Statistics, and Methods (NCSES S T)</t>
  </si>
  <si>
    <t>Others (see text field entitled "Additional Information on Eligibility" for clarification) *Who May Submit Proposals: Proposals may only be submitted by the following:
  -
Standard research proposals: 
 li class= span class= span class=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li class= span class= Non-profit, non-academic organizations: Independent museums, observatories, research laboratories, professional societies and similar organizations located in the U.S. that are directly associated with educational or research activities. 
 li class= span class= Tribal Nations: An American Indian or Alaska Native tribe, band, nation, pueblo, village, or community that the Secretary of the Interior acknowledges as a federally recognized tribe pursuant to the Federally Recognized Indian Tribe List Act of 1994, 25 U.S.C.   5130-5131. 
Doctoral Dissertation Research Improvement Grant proposals: Doctoral Degree granting IHEs accredited in, and having a campus located in, the US acting on behalf of their faculty members.
*Who May Serve as PI:
Standard research proposals: No special restrictions or limits.
Doctoral Dissertation Research Improvement Grant proposals: The dissertation advisor must be listed as the Principal Investigator and the student must be listed as the co-Principal Investigator.</t>
  </si>
  <si>
    <t>The National Center for Science and Engineering Statistics (NCSES) of the National Science Foundation (NSF) is one of the thirteen principal federal statistical agencies within the United States. It is responsible for the collection, acquisition, analysis, reporting and dissemination of objective, statistical data related to the science and technology (S T) enterprise in the United States and other nations that is relevant and useful to practitioners, researchers, policymakers and the public. NCSES uses this information to prepare a number of statistical data reports including Women, Minorities and Persons with Disabilities in Science and Engineering and the National Science Board's biennial report, Science and Engineering (S E) Indicators.
The Center would like to enhance its efforts to support analytic and methodological research in support of its surveys as well as promote the education and training of researchers in the use of large-scale nationally representative datasets. NCSES welcomes efforts by the research community to use NCSES or other data to conduct research on the S T enterprise, develop improved survey methodologies that could benefit NCSES surveys, explore alternate data sources that could supplement NCSES data, create and improve indicators of S T activities and resources, strengthen methodologies to analyze S T statistical data, and explore innovative ways to communicate S T statistics. To that end, NCSES invites proposals for individual or multi-investigator research projects, doctoral dissertation improvement awards, conferences, experimental research, survey research and data collection, and dissemination projects under its program for Research on the Science and Technology Enterprise: Indicators, Statistics, and Methods (NCSES S T).</t>
  </si>
  <si>
    <t>NSF National Quantum Virtual Laboratory - Quantum Testbeds</t>
  </si>
  <si>
    <t>Others (see text field entitled "Additional Information on Eligibility" for clarification) *Who May Submit Proposals: Proposals may only be submitted by the following:
  -
The complete process for determining eligibility to submit to the Design and Implementation Phases is described in Section II, Program Description.
NQVL:QSTD:Design
Submission of a QSTD:Design proposal is contingent upon the existence of a QSTD:Pilot project in the same topical area, and the positive recommendation from the site visit panel that will review the QSTD:Pilot project nine-months into the QSTD:Pilot project. Transitioning from the QSTD:Pilot to the QSTD:Design phase, the Lead Organization and the Lead PI may change subject to the eligibility limits on number of proposals per organization and per PI or co-PI stated in this solicitation.
Following upon a clear and agreed-upon understanding of goals and objectives, the selection of a Lead Organization, and approval by the NSF to advance from the Pilot to the Design phase, QSTD:Pilot teams may choose to consolidate prior to submitting a QSTD:Design proposal to advance to the Design phase. There are no restrictions or limitations on the type of organization eligible to serve as Lead Organization on the proposal.
NQVL:QSTD:Implementation
Submission of a QSTD:Implementation proposal is contingent upon the existence of a QSTD:Design project in the same topical area, and the positive recommendation from the last annual site visit panel review of the QSTD:Design project. Transitioning from the QSTD:Design to the QSTD:Implementation phase, the Lead Organization and the Lead PI may change subject to the eligibility limits on number of proposals per organization and per PI or co-PI stated in this solicitation.
Following upon a clear and agreed-upon understanding of goals and objectives, the selection of a Lead Organization, and approval by the NSF to advance from the Design to the Implementation phase, QSTD:Design teams may choose to consolidate prior to submitting a QSTD:Implementation proposal to advance to the Implementation phase. There are no restrictions or limitations on the type of organization eligible to serve as Lead Organization on the proposal.</t>
  </si>
  <si>
    <t xml:space="preserve">The National Quantum Initiative (NQI) Act1aims to ensure the continuing leadership of the United States (U.S.) in quantum information science and technology. In conformance with the NQI goals, an argument2-5was set forth for a renewed emphasis on identifying and fostering early adoption of quantum technologies to transform the field of Quantum Information Science and Engineering (QISE) and to accelerate broader impacts on society. A systematic approach to maturing quantum technology platforms by integrating end-users and potential customers from other fields of science and engineering and other sectors of the economy into cycles of research, development, and demonstration should lower the barriers for end-users to pioneer new applications. NSF support for use-inspired and translational research in QISE, combined with continued strong support of the underlying foundational research, is anticipated to accelerate development of a market for quantum technologies.
With this program solicitation, the Foundation is taking the next step in implementing the National Quantum Virtual Laboratory (NQVL) concept as an overarching shared infrastructure designed to facilitate the translation from basic science and engineering to the resultant technology, while at the same time emphasizing and advancing its scientific and technical value. The NQVL aims to develop and utilize use-inspired and application-oriented quantum technologies. In the process, NQVL researchers will explore quantum frontiers6, foster the development of QISE education and workforce development strategies, engage in outreach activities at all levels, and promote input and participation from the full spectrum of diverse talent in QISE, thereby lowering barriers at all entry points of the research enterprise. Engagement with all sectors of the United States (U.S.) QISE community will be necessary for this initiative to succeed, and, indeed, the project is designed to include participation from a full spectrum of organizations who have expertise to contribute. In particular, NSF recognizes that the involvement of industry partners is essential and will welcome these to be a part of the overall structure. Partnerships with other U.S. Federal agencies under the NQI umbrella are also encouraged.
While this solicitation lays out the vision for the entire NQVL program that includes Quantum Science and Technology Demonstration (QSTD) projects, support for enabling technologies through Transformative Advances in Quantum Systems (TAQS), as well as a central coordination hub, only proposals for Design- and Implementation-phase QSTDs are solicited at this time.
Submission of a QSTD:Design proposal is contingent upon the existence of a QSTD:Pilot project in the same topical area, and the positive recommendation from the Conceptual Design Review of the QSTD:Pilot project. The QSTD:Design project builds on progress made in the QSTD:Pilot phase.
Submission of a QSTD:Implementation proposal is contingent upon the existence of a QSTD:Design project in the same topical area, and the positive recommendation from the Preliminary Design Review of the QSTD:Design project. The QSTD:Implementation project builds on progress made in the QSTD:Design phase.
It is required that prospective PIs contact the NQVL Program Officer(s) as soon as possible, but not later than two weeks before submitting a proposal in response to this solicitation, to ascertain that the focus and budget of their proposal is appropriate for this solicitation.
H.R.6227 - National Quantum Initiative Act,https://www.congress.gov/bill/115th-congress/house-bill/6227
Accelerating Progress Towards Practical Quantum Advantage, A National Science Foundation Project Scoping Workshop (2022),https://arxiv.org/abs/2210.14757
Quantum Computer Systems for Scientific Discovery, PRX Quantum 2, 017001 (2021)https://doi.org/10.1103/PRXQuantum.2.017001
Development of Quantum InterConnects for Next-Generation Information Technologies, PRX Quantum 2, 017002 (2021)https://doi.org/10.1103/PRXQuantum.2.017002
Quantum Simulators: Architectures and Opportunities, PRX Quantum 2, 017003 (2021)https://doi.org/10.1103/PRXQuantum.2.017003
Quantum Frontiers: Report on Community Input to the Nation's Strategy for Quantum Information Science,https://www.quantum.gov/wp-content/uploads/2020/10/QuantumFrontiers.pdf
</t>
  </si>
  <si>
    <t>NSF Small Business Innovation Research / Small Business Technology Transfer Fast-Track Pilot Programs</t>
  </si>
  <si>
    <t>Others (see text field entitled "Additional Information on Eligibility" for clarification) *Who May Submit Proposals: Proposals may only be submitted by the following:
  -
Small businesses concerns must meetALLof the following requirements:
 Proposers that have submitted aSBIR/STTR Fast-Track Project Pitch and received an official invitation from a cognizant NSF SBIR/STTR Program Officerwithinthe 4 months precedingthe proposal submission date. To start this process, proposers must first create a log in and submit a Project Pitch document via the NSF SBIR/STTR Fast-Track Project Pitch a href= online form . The cognizant NSF SBIR/STTR Program Officer will use the Project Pitch to determine whether the proposed project is a good fit for the Fast-Track program. 
 Companies qualifying as a small business concern are eligible to participate in the NSF SBIR/STTR Fast-Track pilot programs (see a href= Guide to SBIR/STTR Program Eligibility for more information). Please note that the size limit of 500 employees includes affiliates. The firm must be in compliance with the a href= SBIR/STTR Policy Directive and the a href= Code of Federal Regulations . For STTR proposals, the proposing small business must also include a partner research institution in the project, see additional details below. 
 The SBIR/STTR Fast-Track pilot effort shares the same goals as the NSF SBIR/STTR Phase I and Phase II funding opportunities, but the Fast-Track pilot programs have different eligibility requirements. Small businesses applying to the NSF SBIR/STTR Fast-Track pilot programs must have 1) a lineage of NSF research funding, 2) at least one Senior/Key Personnel to have undergone formal customer discovery training, and 3) the entire team must already be in place (not yet to be determined) at the time of proposal submission. If the small business concern does not meet all three of these criteria, their proposal will be transferred to the NSF SBIR/STTR Phase I program for consideration.
 Lineage Eligibility Requirement.The technical innovation in the Fast-Track proposal must be derived from a prior NSF research award that is either currently active or was active within the previous five years from the date of submission of the Fast-Track proposal. The Fast-Track Project Pitch and proposal must include the NSF award number and title of the research award that is relied upon to meet the lineage requirement. The Fast-Track proposal s PI or at least one Senior/Key Personnel must have been supported under the lineage award. If the Fast-Track team member relied upon to meet the lineage requirement is named on the lineage award, no further documentation will berequired. If not, the Fast-Track proposal must include a letter from the PI or a Co-PI of the lineage award confirming that either the PI or a named Senior/Key Personnel on the Fast-Track team was engaged in research undertaken under the lineage award.In addition to regular NSF research awards (e.g., CAREER, individual investigator awards, center/institute awards, etc.), a href= Partnerships for Innovation (PFI) a href= NSF Graduate Research Fellowship Program (GRFP) count as NSF lineage forSBIR/STTR Fast-Track eligibility. a href= NSF Innovation Corps (I-Corps) a href= NSF SBIR/STTR span style= text-decoration: underline; do not count as NSF research lineage and  span style= text-decoration: underline; do not  convey SBIR/STTR Fast-Track eligibility. 
 Formal Customer Discovery Eligibility Requirement.Companies must have received formal customer discovery training, defined as follows, within the</t>
  </si>
  <si>
    <t>The NSF SBIR/STTR and SBIR/STTR Fast-Track pilot programs support moving scientific excellence and technological innovation from the lab to the market. By funding startups and small businesses, NSF helps build a strong national economy and stimulates the creation of novel products, services, and solutions in private, public, or government sectors with potential for broad impact; strengthens the role of small business in meeting federal research and development needs; increases the commercial application of federally supported research results; and develops and increases the US workforce, especially by fostering and encouraging participation by socially and economically disadvantaged and women-owned small businesses.
These NSF SBIR/STTR Fast-Track pilot programs provide fixed amount cooperative agreements for thedevelopment of a broad range of technologiesbased on discoveries in science and engineeringwith potential for societal and economic impacts. Unlike fundamental or basic research activities that focus on scientific and engineering discovery itself, the NSF SBIR/STTR Fast-Track pilot programs support the creation of opportunities to move use-inspired and translational discoveries out of the lab and into the market or other use at scale, through startups and small businesses.The NSF SBIR/STTR Fast-Track pilot programs do not solicit specific technologies or procure goods and services from startups and small businesses.Any invention conceivedorreduced to practice with the assistance ofSBIR/STTR fundingis subject to the Bayh-Dole Act. For more information refer toSBIR/STTR Frequently Asked Questions #75. 
NSF promotes inclusion by encouraging proposals from diverse populations and geographic locations.
The traditional NSF SBIR/STTR programs include two funding Phases   Phase I and Phase II. All proposers to the programs must first apply for Phase I funding   there is no direct-to-Phase II option. Under a traditional NSF SBIR/STTR Phase I award, a small business can receive non-dilutive funding for research and development (R D) to demonstrate technical feasibility over 6 to 12 months and then, after completion of a Phase I project, companies may apply for Phase II funding to further develop the proposed technology.
There aresignificantbenefits for SBIR/STTRFast-Track recipients:the submission of only oneproposalfor Phase I and Phase IIand a faster transition from Phase I to Phase II.While startups and small businesses face many challenges, NSF SBIR/STTR Fast-Track funding is intended to specifically focus on challenges associated with technological innovation; that is, on the creation of new products, services, and other scalable solutions based on fundamental science or engineering. A successful Fast-Track proposal must demonstrate how NSF funding will help the small business create a proof-of-concept or prototype by retiring technical risk.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Fast-Track pilot programs focus on stimulating technical innovation from diverse entrepreneurs and start-ups by translating new scientific and engineering concepts into products and services that can be scaled and commercialized into sustainable businesses with significant societal benefits. The programs provide non-dilutive funding for research and development (R D) of use-inspired scientific and engineering activities at the earliest stages of the company and technology development. During the course of the award, the emphasis is expected to shift from de-risking those aspects preventing the innovation from reaching technical feasibility and driving the intended impact to a greater focus on commercially relevant development activities that will allow the company to differentiate itself and drive new value propositions to the market and society.
NSF encourages input and participation from the full spectrum of diverse talent that society has to offer which includes underrepresented and underserved communities.
These NSF programs are governed by15 USC 638and the National Science Foundation Act of 1950, as amended (42 USC  1861, et seq.).
Introduction to the Program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These NSF SBIR/STTR Fast-Track pilot programs enable companies based on previous NSF awards (NSF award lineage) to submita single proposalthat, if awarded, can provide a faster pathway from Phase I to Phase II funding.Receipt of full funding under the Fast-Track pilot programs is contingent on the results of a company s Phase II transition review.
The NSF SBIR/STTR Fast-Track pilot programs are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</si>
  <si>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Office of Naval Research Code 35 Air Warfare   Weapons Focus Area Forum Research for the Naval Domain</t>
  </si>
  <si>
    <t>Others (see text field entitled "Additional Information on Eligibility" for clarification) Please see BAA N0001424SB001 for eligibility</t>
  </si>
  <si>
    <t>The purpose of this event is to focus attention of the scientific community on (1) Code 35 Research Areas, (2) introduce potential industry, academia and government performers about near and long-term research objectives; (3) Provide information on Code 35â€™s Focus Area Forum Research for the Naval Domain (4) Provide for dialogue amongst those interested in this arena, and solicit feedback from industry about potential technology approaches; (5) connect industry, academia and government personnel to develop relationships that might better leverage individual capabilities and (6) provide the planned timetable for the submission of white papers and full proposals.</t>
  </si>
  <si>
    <t>ROSES 2024: F.20 Mentorship and Opportunities in STEM with Academic Institutions for Community Success (MOSAICS) Seed Funding</t>
  </si>
  <si>
    <t xml:space="preserve">NOTICE: Amended September 27, 2024. The cut-off date for proposals to be included in the Winter 2025 review has been extended to October 11, 2024, to give more time to those proposers who may be impacted by Hurricane Helene. New text is in bold and deleted text is struck through. 
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Please check the solicitation for review dates to help time your submission.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</si>
  <si>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HEAL Initiative: JCOIN Phase II Economic Research Resource Center (U24 Clinical Trial Optional)</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</si>
  <si>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allowed.</t>
  </si>
  <si>
    <t>Individuals in the US justice system are disproportionately likely to have SUD/OUD, are at high risk for opioid withdrawal upon incarceration, and are at elevated risk for overdose post-release if they have not received MOUD while detained. Most US jails do not offer MOUD to everyone who could benefit from them. JCOIN focuses on the translation of research-to-practice to address the overdose crisis in the context of the criminal justice system  specifically, increasing delivery of and access to MOUD. A portfolio of research projects conducts hybrid effectiveness-implementation trials to address key barriers to delivery of evidence-based OUD treatments to justice-involved populations. This is the only HEAL initiative with a primary focus on justice-involved populations and criminal-legal systems.</t>
  </si>
  <si>
    <t>HEAL Initiative: JCOIN Phase II Innovation Hubs (R01 Clinical Trial Optional)</t>
  </si>
  <si>
    <t>HEAL Initiative: JCOIN Phase II Clinical Research Hubs (UM1 Clinical Trial Required)</t>
  </si>
  <si>
    <t>HEAL Initiative: JCOIN Phase II Community Engaged Research Resource Center (U24 Clinical Trial Optional)</t>
  </si>
  <si>
    <t>NSF Small Business Innovation Research / Small Business Technology Transfer Phase I Programs</t>
  </si>
  <si>
    <t>Others (see text field entitled "Additional Information on Eligibility" for clarification) *Who May Submit Proposals: Proposals may only be submitted by the following:
  - 
 Proposers must obtain an official invitation to submit a proposal.To receive the invitation, potential proposers must submit a a href=  target= Project Pitch and receive an official response (via email) from the cognizant Program Officer. Project Pitch invitations are valid for two deadlines after the date of the initial official invitation from NSF; for example, if an official invitation is received on May 30, 2024, the proposer may submit for either the September 18, 2024, or November 6 deadline. In this example, submissions after November 6, 2024 will require a new Project Pitch invitation. 
 Firms qualifying as a small business concern are eligible to participate in the NSF SBIR/STTR programs (see a href=  target= Eligibility Guide for more information). Please note that the size limit of 500 employees includes affiliates. The firm must be in compliance with the a href=  target= SBIR/STTR Policy Directive and the Code of Federal Regulations ( a href=  target= 13 CFR Part 121 ). For STTR proposals, the proposing small business must also include a partner research institution in the project, see additional details below. 
In compliance with the a href= CHIPS and Science Act of 2022 , Section 10636 (Person or entity of concern prohibition) ( a href= 42 U.S.C. 19235 ): No person published on the list under section 1237(b) of the Strom Thurmond National Defense Authorization Act for Fiscal Year 1999 ( a href= Public Law 105-261 a href= 50 U.S.C. 1701 note ) or a href= entity identified under section 1260H of the William M. (Mac) Thornberry National Defense Authorization Act for Fiscal Year 2021 ( a href= 10 U.S.C. 113 note a href= Public Law 116-283 ) may receive or participate in any grant, award, program, support, or other activity under the Directorate for Technology, Innovation and Partnerships.
 Individuals who are a current party to a Malign Foreign Talent Recruitment Program are not eligible to serve as a Senior/Key Person on an NSF proposal or on any NSF award made after May 20, 2024. See current PAPPG for additional information on required certifications associated with Malign Foreign Talent Organization. The Authorized Organizational Representative (AOR) must certify that all individuals identified as Senior/Key Personnel have been made aware of and have complied with their responsibility under that section to certify that the individual is not a party to a Malign Foreign Talent Recruitment Program. 
The startup s or small business  research and development (R D) must be performed within the United Sta</t>
  </si>
  <si>
    <t>The NSF SBIR/STTRprograms provide non-dilutive funds for use-inspired research and development (R D) of unproven, leading-edge, technology innovations that address societal challenges. By investing federal research and development funds into startups and small businesses, NSF helps build a strong national economy and stimulates the creation of novel products, services, and solutions in the private sector; strengthens the role of small business in meeting federal research and development needs; increases the commercial application of federally-supported research results; and develops and increases the U.S. workforce, especially by fostering and encouraging participation by socially and economically-disadvantaged and women-owned small businesses.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programs fund broadly across scientific and engineering disciplines and do not solicit specific technologies or procure goods and services from startups and small businesses. The funding provided is non-dilutive. Any invention conceived or reduced to practice with the assistance of SBIR/STTR funding is subject to the Bayh-Dole Act. For more information, refer to the SBIR/STTR Frequently Asked Questions, #75.
NSF encourages input and participation from the full spectrum of diverse talent that society has to offer which includes underrepresented and underserved communities.
This program is governed by15 U.S.C. 638and the National Science Foundation Act of 1950, as amended (42 U.S.C. 1861 et seq.).
Introduction to Program:
The SBIR and STTR programs, initiated at NSF, were established in 1982 as part of the Small Business Innovation Development Act.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 NSF SBIR/STTR programs are now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</si>
  <si>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NSF Small Business Innovation Research  / Small Business Technology Transfer Phase II Programs</t>
  </si>
  <si>
    <t>Others (see text field entitled "Additional Information on Eligibility" for clarification) *Who May Submit Proposals: Proposals may only be submitted by the following:
  - ul type= 
 Proposers must submit their SBIR/STTR Phase II proposal within 6 to 24 months after the start date of their relevant NSF SBIR/STTR Phase I award.Please reference your NSF SBIR/STTR Phase I award notice for award start date.Note that this submission window is NOT extended by no-cost extensions. 
 Firms qualifying as a small business concern are eligible to participate in the NSF SBIR/STTR programs (seethe a href= Guide to SBIR/STTR Program Eligibility for more information). Please note that the size limit of 500 employeesincludes affiliates. The firm must be in compliance with the a href= SBIR/STTR Policy Directive and the a href= Code of Federal Regulations . For STTR proposals, the proposing small business concern must also include a partner research institution in the project, see additional details below. 
An organization whose Phase I award has been terminated by NSF will not be permitted to submit a Phase II proposal predicated on the terminated award. Similarly, an organization whose Phase I award has been suspended by NSF pending a potential investigation may not submit a Phase II proposal while the suspension persists. If the suspension lasts longer than the normal 24-month window to submit the Phase II proposal, and the Phase I award is later reinstated, NSF will provide additional time to complete the Phase I project and submit the Phase II proposal.
In compliance with the a href= CHIPS and Science Act of 2022 , Section 10636 (Person or entity of concern prohibition; 42 U.S.C. 19235): No person published on the list under section 1237(b) of the a href= Strom Thurmond National Defense Authorization Act for Fiscal Year 1999 (Public Law 105-261; 50 U.S.C. 1701 note) orentity identified under section 1260hof the a href= William M. (Mac) Thornberry National Defense Authorization Act for Fiscal Year 2021 a href= 10 U.S.C. 113 note a href= Public Law 116-283 ) may receive or participate in any grant, award, program, support, or other activity under the Directorate for Technology, Innovation, and Partnerships.
Individuals who are a current party to a Malign Foreign Talent Recruitment Program are not eligible to serve as a Senior/Key Person on an NSF proposal or on any NSF award made after May 20, 2024. See current PAPPG for additional information on required certifications associated with Malign Foreign Talent Organization. The Authorized Organizational Representative (AOR) must certify that all individuals identified as Senior/Key Personnel have been made aware of and have complied with their responsibility under that section to certify that the individual is not a party to a Malign Foreign Talent Recruitment Program.
The startup s or small business  Research and Development (R D) must be performed within the United States. Startups and small businesses funded by NSF must be majority U.S.-owned companies.
NSF does not fund proposals from companies that are majority-owned by one or more venture capital operating comp</t>
  </si>
  <si>
    <t>The NSF SBIR/STTR programs support moving scientific excellence and technological innovation from the lab to the market. By funding startups and small businesses, NSF helps build a strong national economy and stimulates the creation of novel products, services, and solutions in private, public, or government sectors with potential for broad impact; strengthens the role of small business in meeting federal research and development needs; increases the commercial application of federally supported research results; and develops and expands the US workforce, especially by fostering and encouraging participation by socially and economically disadvantaged and women-owned small businesses.
The NSF SBIR/STTR Phase II programs provide non-dilutive funding for thedevelopment of a broad range of technologiesbased on discoveries in science and engineeringwith potential for societal and economic impacts. Unlike fundamental or basic research activities that focus on scientific and engineering discovery itself, the NSF SBIR/STTR programs support the creation of opportunities to move use-inspired and translational discoveries out of the lab and into the market or other use at scale, through startups and small businesses.The NSF SBIR/STTR programs do not solicit specific technologies or procure goods and services. The funding provided is non-dilutive. Any invention conceived or reduced to practice with the assistance of SBIR/STTR funding is subject to the Bayh/Dole Act. For more information, refer to Frequently Asked Questions (FAQs), #75.
NSF encourages input and participation from the full spectrum of diverse talent that society has to offer which includes underrepresented and underserved communities.
NSF seeks unproven, leading-edge, technology innovations that demonstrate the following characteristics:
The innovations are underpinned and enabled by a new scientific discovery or meaningful engineering innovation.
The innovations still require intensive technical research and development to be fully embedded in a reliable product or service.
The innovations have not yet been reduced to practice by anyone and it is not guaranteed, at present, that doing so is technically possible.
The innovations provide a strong competitive advantage that are not easily replicable by competitors (even technically proficient ones).
Once reduced to practice, the innovations are expected to result in a product or service that would either be disruptive to existing markets or create new markets/new market segments.
The NSF SBIR/STTR programs focus on stimulating technical innovation from diverse entrepreneurs and start-ups and small businesses by translating new scientific and engineering concepts into products and services that can be scaled and commercialized into sustainable businesses with significant societal benefits. The program provides non-dilutive funding for research and development (R D) of use-inspired scientific and engineering activities for startups and small businesses. In Phase I, the emphasis is on de-risking those aspects preventing the innovation from reaching technical feasibility and driving the intended impact.In Phase II, R D continues, but the emphasis starts to shift away from research and to development challenges which, if solved, would result in new sustainable competitive advantages to allow the company to differentiate itself and drive new value propositions to the market and society.
This NSF program is governed by15 USC 638and the National Science Foundation Act of 1950, as amended (42 USC  1861, et seq.).
Introduction to the Program
The SBIR and STTR programs were established in 1982 as part of the Small Business Innovation Development Act. The NSF SBIR/STTR programs focus on stimulating technical innovation from diverse entrepreneurs and startups by translating new scientific and engineering discoveries emerging from the private sector, federal labs, and academia into products and services that can be scaled and commercialized into sustainable businesses with significant societal benefits.
The NSF SBIR/STTR programs are now part of theDirectorate for Technology, Innovation and Partnerships (TIP), which was recently launched to accelerate innovation and enhance economic competitiveness by catalyzing partnerships and investments that strengthen the links between fundamental research and technology development, deployment, and use.</t>
  </si>
  <si>
    <t>ROSES 2024: B.13 Heliophysics U.S. Participating Investigator</t>
  </si>
  <si>
    <t>OIA Bipartisan Infrastructure Law (BIL) Funding</t>
  </si>
  <si>
    <t>Others (see text field entitled "Additional Information on Eligibility" for clarification) Eligible applicants are non-federal entities such as local government agencies (including local hospitals/health centers and utilities) and institutions of higher education in Guam, American Samoa, the U.S. Virgin Islands, and the Commonwealth of the Northern Mariana Islands; and any non-profit organizations whose mission directly benefits the insular areas listed above in accordance with regulations contained in 2 CFR 200.ALL APPLICANTS must provide the following information: If applicable, applicants should submit documentation of the community or area s disadvantaged status. This should include information on which categories of burden (e.g., climate change, energy, health, housing, legacy pollution, transportation, water, and workforce development) are experienced in the community or area and documentation of the data source demonstrating the identified burden(s), and whether and how a proposed project is expected to provide benefits to disadvantaged communities in the U.S. territories. All census tracts identified as disadvantaged by the Climate and Economic Justice Screening Tool (CEJST) will be recognized as disadvantaged for the purpose of this funding opportunity. Acceptable data sources may also include relevant environmental and economic indicators from datasets such as the U.S. Census Bureau s Island Area Census, the FEMA National Risk Index, or relevant environmental and economic variables underlying the EPA s EJScreen. Alternatively, data may include locally sourced information about climate and other environmental and economic burdens, such as data from territorial governments, Federal government regional offices (e.g., USGS Pacific Islands Water Science Center) or State, Territorial, or local governmental or research organizations (e.g., Association of State and Territorial Health Officials).</t>
  </si>
  <si>
    <t>OIA is requesting proposals for Fiscal Year 2024 for the four following activities:A. Invasive Species (Activity 6),B. Revegetate Mined Lands (Activity 8), C. Native Seed Strategy for Rehabilitation and Restoration (Activity 9), and D. Advancing the National Early Detection and Rapid Response Framework: Early Detection Surveillance for Asset Protection.</t>
  </si>
  <si>
    <t>Safety and Efficacy of Amyloid-Beta Directed Antibody Therapy in Mild Cognitive Impairment and Dementia with Evidence of Lewy Body Dementia and Amyloid-Beta Pathology (U01 - Clinical Trial Required)</t>
  </si>
  <si>
    <t>This RFA is soliciting applications proposing placebo-controlled, clinical trials to determine the efficacy and safety of FDA approved monoclonal antibody therapies directed against amyloid compared to placebo in diverse "mixed dementia" populations with a focus on Lewy Body Dementias (LBD). In this NOFO the mixed-etiology dementias (MED) that are of interest and that are in scope are cognitive impairment and dementia cases positive for 1) canonical Alzheimers pathology biomarkers (for example, amyloid deposition assessed using positron emission tomography and/or low cerebrospinal fluid amyloid beta 42 combined with elevated phosphorylated tau; and 2) a clinical LBD diagnosis, i.e. Parkinsons disease dementia (PDD) and/or dementia with Lewy bodies (DLB). Bayesian approaches with response adaptive randomization to examine specific subgroups are encouraged. Successful applications will be powered to determine efficacy in diverse populations representative of the distribution of the disease in the United States by sex, race/ethnicity, and geographic distribution. Applications must include elements of patient and community engagement that are incorporated into all stages of program development and at all levels of the organizational structure.</t>
  </si>
  <si>
    <t>EPSCoR Research Infrastructure Improvement-Focused   EPSCoR Collaborations Program (RII-FEC)</t>
  </si>
  <si>
    <t>Others (see text field entitled "Additional Information on Eligibility" for clarification) *Who May Submit Proposals: Proposals may only be submitted by the following:
  - 
 Institutions or organizations in jurisdictions that meet the EPSCoR a href= 
 Institutions of higher education (PhD-granting and non-PhD-granting), acting on behalf of their faculty members, that are accredited in and have a campus in the United States, its territories, or possessions. Distinct academic campuses (e.g., that award their own degrees, have independent administrative structures, admissions policies, alumni associations, etc.) within multi-campus systems qualify as separate submission-eligible organizations. Campuses that plan to submit a proposal through the Sponsored Projects Office of other campuses or organizations should contact NSF to discuss eligibility as early as possible and at least six weeks before submitting such a proposal. 
 Not-for-profit, non-degree-granting domestic U.S. organizations, acting on behalf of their employees, that include (but are not limited to) independent museums and science centers, observatories, research laboratories, professional societies, and similar organizations that are directly associated with the Nation's research or educational activities. These organizations must have an independent, permanent administrative organization (e.g., an office of sponsored research) located in the United States, its territories, or possessions, and have 501(c)(3) tax status. 
 Tribal Governments with the governing body of any Indian or Alaska Native tribe, band, nation, pueblo, village, or community that the Secretary of the Interior acknowledges to exist as an Indian tribe under the Federally Recognized Indian Tribe List Act of 1994 (25 U.S.C. 479a, et seq.) or Indigenous communities that are not recognized by the Federally Recognized Indian Tribe List Act of 1994 (25 U.S.C. 479a, et seq.). 
It is encouraged that the lead institution/organization or at least one collaborative partner be an institution from one of the categories below:
 Emerging Research Institutions as defined in a href= 42  USC 18901 as institutions of higher education with an established undergraduate or graduate program that have less than $50,000,000 in Federal research expenditures; 
 Minority-serving institutions, as a href= by the U.S. Department of Education; 
 Primarily Undergraduate Institutions (PUIs), including two-year colleges, that award associate degrees, bachelor's degrees, and/or master's degrees in NSF-supported fields, but have awarded 20 or fewer Ph.D./D.Sci. degrees in all NSF-supported fields during the combined previous two academic years; 
 Institutions of higher education that are dedicated to serving students with disabilities, as listed in Table 1, page 5, of NSF's 2008 Broadening Participation report ( a href= 
 Degree-granting women's colleges, as listed in the U.S. Department of Education Digest of Education Statistics ( a href= 
Proposalsmaybesubmittedeitherasacollaborativefrommultipleorganizationsor oneorganizationwithsupport forcollaboratorsrequestedassubawards.
*Who May Serve as PI:
 Principal Investigators of proposed</t>
  </si>
  <si>
    <t>The Established Program to Stimulate Competitive Research (EPSCoR) is designed to fulfill the mandate of the National Science Foundation (NSF) to promote scientific progress nationwide. EPSCoR eligibility status is yearly updated and reported in the EPSCoR website (see EPSCoR eligibility).
Through this program, NSF establishes partnerships with government, higher education, and industry that are designed to affect sustainable improvements in a jurisdiction's research infrastructure, Research and Development (R D) capacity, and hence, its R D competitiveness.
The RII-FEC program (formerly known as  EPSCoR Track-2 program ) builds interjurisdictional collaborative teams of EPSCoR investigators in Science, Technology, Engineering, and Mathematics (STEM) focus areas consistent with the currentNational Science Foundation Strategic Plan. Projects are investigator-driven and must include researchers from at least two EPSCoR eligible jurisdictions with complementary expertise and resources necessary to address challenges, which neither party could address as well or as rapidly independently. RII-FEC projects have a comprehensive and integrated vision to drive discovery and build sustainable STEM capacity that exemplifies individual, institutional, geographic, and disciplinary diversity. The projects  STEM research and education activities seek to broaden participation through the strategic inclusion and integration of all individuals, institutions, and sectors. Additionally, EPSCoR recognizes that the development of early-career faculty from backgrounds that are traditionally underrepresented in STEM fields is critical to sustaining and advancing research capacity. The integration and inclusion of Minority-Serving Institutions (MSIs), women s colleges, Primarily Undergraduate Institutions (PUIs), and two-year colleges is a critical component of this sustainable STEM capacity.</t>
  </si>
  <si>
    <t>Molecular Foundations for Sustainability: Sustainable Polymers Enabled by Emerging Data Analytics</t>
  </si>
  <si>
    <t>The Molecular Foundations for Sustainability: Sustainable Polymers Enabled by Emerging Data Analytics program (MFS-SPEED) is a cross-directorate funding call in response to The National Defense Authorization Act (NDAA) for Fiscal Year (FY) 2021 and the 2022 CHIPS and Science Act. It is supported by the NSF Directorates for Mathematical and Physical Sciences (MPS) and Technology, Innovation, and Partnerships (TIP), and five industry partners: Procter   Gamble, PepsiCo, BASF, Dow, and IBM.
_x000D_
The goal of MFS-SPEED is to support fundamental research enabling the accelerated discovery and ultimate manufacturing of sustainable polymers using state-of-the-art data science, and to enhance development of a cross-disciplinary workforce skilled in this area. In particular, through this solicitation the research community is encouraged to address the discovery and elaboration of new sustainable polymers or sustainable pathways to existing polymers by the creation and use of a data-centric environment where research projects are:
_x000D_
(1) focused on new approaches to predicting structure and properties of polymers and advanced soft materials,
_x000D_
(2) with insights enabled by data analytics including Artificial Intelligence/Machine Learning;
_x000D_
(3) This includes more efficient, scalable preparation of monomers and polymers using existing or new synthetic routes
_x000D_
(4) and this call aims to train a technical workforce that leverages data analytics to create sustainable polymers and soft materials.
_x000D_
Molecular Foundations for Sustainability: Sustainable Polymers Enabled by Emerging Data Analytics (MFS-SPEED,) research grants   Awards will be supported in FY24/25 up to $2M per award for up to a three-year grant period, commensurate with the scope and team size. This program seeks to fund collaborative team research that transcends the traditional boundaries of individual disciplines to achieve the program goals.</t>
  </si>
  <si>
    <t>WaterSMART Environmental Water Resources Projects 2024</t>
  </si>
  <si>
    <t>Native American tribal governments (Federally recognized) Category A Applicants  States, Tribes, irrigation districts, and water districts;  State, regional, or local authorities, the members of which include one or more organizations with water or power delivery authority; and  Other organizations with water or power delivery authority.All Category A applicants must also be located in one of the following States or Territories: Alaska, Arizona, California, Colorado, Hawaii, Idaho, Kansas, Montana, Nebraska, Nevada, New Mexico, North Dakota, Oklahoma, Oregon, South Dakota, Texas, Utah, Washington, Wyoming, American Samoa, Guam, the Northern Mariana Islands, the Virgin Islands, or Puerto Rico.Category B applicants should include with their application a letter from the Category A partner stating that the Category A partner:  Is acting in partnership with the applicant;  Agrees to the submittal and content of the application; and  Intends to participate in the project in some way, for example, by providing input, feedback, or other support for the project.</t>
  </si>
  <si>
    <t>The United States Department of the Interiorâ€™s (DOIâ€™s) WaterSMART (Sustain and Manage Americaâ€™s Resources for Tomorrow) Program provides a framework for Federal leadership and assistance to stretch and secure water supplies for future generations in support of DOIâ€™s priorities. Through WaterSMART, Reclamation leverages Federal and non-Federal funding to work cooperatively with States, Tribes, and local entities as they plan for and implement actions to increase water supply reliability through investments in existing infrastructure and attention to local water conflicts. This Environmental Water Resources Projects NOFO provides funding for water conservation and efficiency projects, water management and infrastructure improvements, and river and watershed restoration projects and nature-based solutions that provide significant ecological benefits, have been developed as part of a collaborative process, and help carry out an established strategy to increase the reliability of water resources.Reclamationâ€™s WaterSMART Environmental Water Resources Projects provide support for priorities identified in Presidential Executive Order (E.O.) 14008: Tackling the Climate Crisis at Home and Abroad and is aligned with other priorities such as those identified in E.O. 13985: Advancing Racial Equity and Support for Underserved Communities Through the Federal Government. The Environmental Water Resources Projects also support the goals of the Interagency Drought Relief Working Group established in March 2021 and the National Drought Resiliency Partnership.11 For more information, see E.O. 14008, Tackling the Climate Crisis at Home and Abroad (January 27, 2023), https://www.federalregister.gov/documents/2021/02/01/2021-02177/tackling-the-climate-crisis-at-home-and-abroad; Justice40 Initiative, https://www.whitehouse.gov/environmentaljustice/justice40/; Addendum to the Interim Implementation Guidance for the Justice 40 Initiative, M-21-28, on using the Climate and Economic Justice Screening Tool (CEJST), M-23-09, (January 27, 2023), https://www.whitehouse.gov/wp-content/uploads/2023/01/M-23-09_Signed_CEQ_CPO.pdf.</t>
  </si>
  <si>
    <t>NSF Regional Innovation Engines</t>
  </si>
  <si>
    <t>Others (see text field entitled "Additional Information on Eligibility" for clarification) *Who May Submit Proposals: Proposals may only be submitted by the following: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
State and Local Governments
*Who May Serve as PI:
 p align= The Principal Investigator (PI) must be a senior member of the submitting organization s leadership and will also serve as the full-time CEO for the NSF Engine. At the time of proposal submission, this role may be filled by an interim CEO until a full-time CEO is named or recruited. The designation of a full-time CEO must occur within the first six months of the start date of the award.
 p align= Individuals who are a party to aMalign Foreign Talent Recruitment Program are not eligible to serve as a senior/key person on an NSF proposalor award.</t>
  </si>
  <si>
    <t>The NSF Regional Innovation Engines (NSF Engines) program creates regional-scale, technology-driven, inclusive innovation ecosystems throughout the United States by accelerating key technologies, addressing regional, national, societal, and/or geostrategic challenges, driving economic growth, creating and retaining quality jobs, expanding equitable pathways into careers, and strengthening national competitiveness and security. Each NSF Engine represents a formal coalition of regional partners, led by a full-time Chief Executive Officer (CEO), tasked to carry out an integrated and comprehensive set of activities spanning use-inspired research, translation of innovation to practice, entrepreneurship, workforce development, community engagement, and ecosystem building, to nurture and accelerate the growth of regional innovation ecosystems grounded in technological innovation and regional, national, societal, and/or geostrategic challenges. The mission of an NSF Engine must be clearly rooted in regional interests and reflect the aspiration that a regional innovation ecosystem can help build strong communities where all residents can thrive. This includes the equitable development of regional talent, intentional community engagement, and attention to impacts on a region s identities and cultures. The NSF Engines program is a placed-based innovation funding initiative, where the emphasis on   expresses NSF s aim to stimulate innovation-driven economic growth within a particular place or region of service. The emphasis of the NSF Engines program further includes creating new business and economic growth in sectors that are critical to American competitiveness and in those regions of America that have not fully participated in the technology boom of the past several decades.</t>
  </si>
  <si>
    <t>NPI Annual Program Statement (New Partnerships Initiative (NPI)/Conflict Prevention and Recovery Program (CPRP) Catalog of Federal Domestic Assistance)</t>
  </si>
  <si>
    <t>Others (see text field entitled "Additional Information on Eligibility" for clarification) Please see Section III of the NPI APS and Rounds published to this APS for eligibility information regarding organizations.</t>
  </si>
  <si>
    <t>The New Partnerships Initiative helps the Agency partner with new, nontraditional, and localpartners to advance their development goals by elevating local leadership, fostering equity1 andaccountability, and mobilizing resources across the Agencyâ€™s programs.Six principles guide our perspective on the partnerships that we wish to support:â— Promote local leadership. NPI works with local actors and traditional partners tostrengthen local and national systems in ways that advance locally led development.â— Improve equity and inclusivity within partner relationships. NPI proactively seeksopportunities to engage more equitably and increase inclusion in operations andprogramming, particularly for those communities that traditionally have beenoverlooked by USAID and other donor agenciesâ€”including faith-based organizations,minority-serving institutions, and diaspora communities.â— Demonstrate accountability to constituents. Recognizing that USAIDâ€™s work is â€œfrom theAmerican peopleâ€ to the people of the world, NPI emphasizes the need to be equallyaccountable to the people in the communities in which we work as well as to theAmerican taxpayer.â— Seek innovative approaches. NPI capitalizes on the full marketplace of ideas andsolutions by collaborating with partners from all sectors of society, while developingpartnerships that foster mutual accountability and develop local capacity.â— Lower barriers to partnerships. NPI identifies processes, norms, and regulations thatprohibit potential partnerships and finds ways to mitigate them while maintainingappropriate safeguards on taxpayer resources.â— Identify new and nontraditional sources of funding. NPI fosters partnerships thatleverage non-U.S. government funding sources to enhance local ownership and supporteffective collaboration across the spectrum of humanitarian and development funders.</t>
  </si>
  <si>
    <t>Cyberinfrastructure for Public Access and Open Science</t>
  </si>
  <si>
    <t>_x000D_
The Cyberinfrastructurefor Public Access and Open Science (CI PAOS) program within the Office of Advanced Cyberinfrastructure (OAC) aims to catalyze new and transformative socio-technical partnerships supporting research data infrastructure ecosystems across domainsthrough early-stage collaborative activities between cyberinfrastructure researchers, scientists, research computing experts, data management experts, research labs, university libraries, and other communities of practice.
_x000D_
_x000D_
_x000D_
The CI PAOS program supports the NSF Public Access Initiative byencouraging innovation across the CI ecosystem to address accessibility, discoverability, reliability, reproducibility, sustainability, and utility of data products in alignment with NSF and national goals for public access and open science [See: NSF Public Access Initiative, Office of Science and Technology Policy Memorandum on Ensuring Free, Immediate, and equitable Access to Federally funded Research, and Desirable Characteristics of Data Repositories for Federally Funded Research].CI PAOS builds on previous investments including those through Dear Colleague Letters NSF19-069,NSF20-068, NSF 23-018, and the FAIROS Research Coordination Networks (RCN)program solicitation (NSF 22-553).
_x000D_
_x000D_
_x000D_
NSF accepts proposals pursuant tothis Program Description year-round. From time to time, NSF may also issue Dear Colleague Letters to encourage proposals on special thematic interests and opportunities related to this program.
_x000D_
_x000D_
GUIDANCE TO POTENTIAL PROPOSERS
_x000D_
_x000D_
_x000D_
A primary feature of successful CI PAOS projects is a robust, synergistic collaborative team comprising skills from across communities of science/engineering, research data science, and information science discipline(s) and expertise in leveraging connections between cyberinfrastructure researchers and providers and data specialists. Leveraging international collaboration to build shared norms and address challenges related to developing and implementing PAOS policies and practices is encouraged. Research and education in science and engineering benefit immensely from international cooperation. Proposals with an international component are also welcome [See: International Collaborations Opportunities at NSF]. Proposers must target one or more of the following themes/pathways:Competency Building, Capability Building, and/or Community Building. 
_x000D_
_x000D_
_x000D_
Competency Building
_x000D_
_x000D_
_x000D_
Open science/engineering-driven collaboration. A socio-technical collaborative approach in addressing disciplinary, interdisciplinary, domestic, and international data lifecycle challenges is critical to informing and guiding the development of principles, requirements, and standardsof a CI ecosystem that fosters pipelines to good data management and pathways to access.Proposals should clearly describe the goals, challenges, and rationale for the proposed data science and engineering project and include an explanation of the potential for transformative research and broader impacts on the open science ecosystem [See: U.S. NSF Broader Impacts].Successful proposals will also clearly identify utilization science scenarios and use cases.
_x000D_
_x000D_
_x000D_
Capability Building
_x000D_
_x000D_
_x000D_
Exploratory and pilot activities.&lt;span class="TextRun SCXW92189242 BCX4" lang="EN-US" xml:lang="EN-US" d</t>
  </si>
  <si>
    <t>Funding Opportunity Announcement ONR STEM Program</t>
  </si>
  <si>
    <t>Others (see text field entitled "Additional Information on Eligibility" for clarification) Disclosures of current and pending support made in this application may render an applicant ineligible for funding. Prior to award and throughout the period of performance, DoD may continue to request updated continuing and pending support information, which will be reviewed and may result in discontinuation of funding. All responsible sources from academia, non-profit organization and industry (for-profit) organizations may submit applications under this FOA. Foreign entities will be considered.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Historically Black Colleges and Universities, Hispanic-serving institutions, Tribal Colleges or Universities, Alaska Native-serving institutions, Native-Hawaiian-serving institutions, Asian American and Native American Pacific Islander-serving institutions, Native American-serving nontribal institutions. Minority Institutions and covered educational institutions in 10 USC 2362 are especially encouraged to apply.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Navy laboratories, military universities, and warfare centers as well as other DoD and civilian agency laboratories are also not eligible to receive awards under this FOA and must not submit either white papers or applications in response to this FOA.University Affiliated Research Centers (UARC) are eligible to submit white papers and/or proposals under this FOA unless precluded from doing so by their DoD UARC contract.</t>
  </si>
  <si>
    <t xml:space="preserve">Disclosures of current and pending support made in this application may render an applicant ineligible for funding. Prior to award and throughout the period of performance, DoD may continue to request updated continuing and pending support information, which will be reviewed and may result in discontinuation of funding.All responsible sources from academia, non-profit organization and industry (for-profit) organizations may submit applications under this FOA. Foreign entities will be considered. 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 Historically Black Colleges and Universities, Hispanic-serving institutions, Tribal Colleges or Universities, Alaska Native-serving institutions, Native-Hawaiian-serving institutions, Asian American and Native American Pacific Islander-serving institutions, Native American-serving nontribal institutions, Minority Institutions and covered educational institutions in 10 USC 2362 are especially encouraged to apply.Federally Funded Research   Development Centers (FFRDCs), including Department of Energy National Laboratories, are not eligible to receive awards under this FOA. However, teaming arrangements between FFRDCs and eligible principal applicants are allowed so long as they are permitted under the sponsoring agreement between the Government and the specific FFRDC.Navy laboratories, military universities, and warfare centers as well as other DoD and civilian agency laboratories are also not eligible to receive awards under this FOA and must not submit either white papers or applications in response to this FOA. University Affiliated Research Centers (UARC) are eligible to submit white papers and/or proposals under this FOA unless precluded from doing so by their DoD UARC contract. </t>
  </si>
  <si>
    <t>IUSE/Professional Formation of Engineers:  Revolutionizing Engineering Departments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</si>
  <si>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For all tracks, the Principal Investigator (PI) must be a Department Chair/Head (or equivalent) of a department for whom a significant percentage of students will graduate or transfer to a program with a bachelor s degree in engineering or engineering technology. The PI must be empowered to provide leadership for the proposed change process. In cases where the institutional responsibilities of a Department Chair/Head do not enable them to support the degree of change being sought, a Dean, Provost, or other senior leader may serve as PI, provided they will be responsible for the active leadership of the RED project. The qualifications of the PI can be justified in the required letter from senior institutional leadership.
It is recommended that projects consider including individuals with expertise in (a) engineering education research and (b) organizational change on the leadership team.</t>
  </si>
  <si>
    <t>Revolutionizing Engineering Departments (hereinafter referred to as RED) is designed to build upon previous efforts in engineering education research. Specifically, previous and ongoing evaluations of the NSF Engineering Education and Centers Division program and its predecessors, as well as those related programs in the Directorate for STEM Education, have shown that prior investments have significantly improved the first year of engineering students  experiences, incorporating engineering material, active learning approaches, design instruction, and a broad introduction to professional skills and a sense of professional practice   giving students an idea of what it means to become an engineer. Similarly, the senior year has seen notable change through capstone design experiences, which ask students to synthesize the technical knowledge, skills, and abilities they have gained with professional capacities, using reflective judgment to make decisions and communicate these effectively. However, this ideal of the senior year has not yet been fully realized, because many of the competencies required in capstone design, or required of professional engineers, are only partially introduced in the first year and not carried forward with significant emphasis through the sophomore and junior years.
The Directorates for Engineering (ENG) and STEM Education (EDU) are funding projects as part of the RED program, in alignment with the Improving Undergraduate STEM Education (IUSE) framework and Professional Formation of Engineers (PFE) initiative. These projects are designing revolutionary new approaches to engineering education, ranging from changing the canon of engineering to fundamentally altering the way courses are structured to creating new departmental structures and educational collaborations with industry. A common thread across these projects is a focus on organizational and cultural change within the departments, involving students, faculty, staff, and industry in rethinking what it means to provide an engineering program.
In order to continue to catalyze revolutionary approaches, while expanding the reach of those that have proved efficacious in particular contexts, the RED program supports four tracks: RED Planning (Track 1), RED Adaptation and Implementation (Track 2), RED Innovation (Track 3), and RED Innovation Partnerships (Track 4). Two- and four-year institutions are encouraged to submit to any track as appropriate for their goals and context.
RED Planning (Track 1) projects will support capacity-building activities at institutions of special interest to NSF s mission, specifically two-year engineering-centered programs building transfer partnerships, two-year or four-year institutions in EPSCoR jurisdictions, Primarily Undergraduate Institutions (PUIs), and Institutions of Higher Education (IHEs)seeking to level the number of degrees acrossof the full spectrum of diverse talent in engineering. Planning projects should provide the support for such institutions to explore the development of a RED Projects in Tracks 2, 3,   4.
RED Adaptation and Implementation (Track 2) projects will adapt and implement evidence-based organizational change strategies and actions to the local context, which helps propagate this transformation of undergraduate engineering education.
RED Innovation (Track 3) projects will develop new, revolutionary approaches and change strategies that enable the transformation of undergraduate engineering education.
RED Innovation Partnerships (Track 4) projects will achieve the same goals as Track 3 projects across multiple institutions. Of particular interest to this track are projects partnering two-year institutions with other eligible institutions.
Projects in tracks 2, 3,   4 will include consideration of the cultural, organizational, structural, and pedagogical changes needed to transform one or more departments to ones in which students are engaged, develop their technical and professional skills, and establish identities as professional engineers or technologists. The focus of projects in these tracks should be on the department s disciplinary courses and program. RED project initiatives are expected to be institutionalized at the end of the funding period.
Proposals are especially encouraged that address areas of increased national interest including but not limited to advanced manufacturing, advanced wireless, artificial intelligence, biotechnology, microelectronics and semiconductors, net zero technologies, sustainability, systems engineering, and quantum engineering.</t>
  </si>
  <si>
    <t>State Digital Equity Capacity Grant Program (2024)</t>
  </si>
  <si>
    <t>Others (see text field entitled "Additional Information on Eligibility" for clarification) Eligible entities include any State of the United States, the District of Columbia, or Puerto Rico that has completed a Digital Equity Plan that meets the requirements of 47 U.S.C.   U.S. Territories that submit a Digital Equity Plan consistent with the obligations of their State Digital Equity Planning Grant award; Native Entities, or a consortium of Native Entities, with the necessary authorizations.</t>
  </si>
  <si>
    <t>The State Digital Equity Capacity Grant Program is the second of three digital equity programs authorized by the Infrastructure Investment and Jobs Act of 2021, Division F, Title III, Public Law 117-58, 135 Stat. 429, 1209 (November 15, 2021) also known as the Digital Equity Act to promote digital inclusion activities and achieve digital equity. The Digital Equity Act consists of three funding programs: (1) the $60 million State Digital Equity Planning Grant Program; (2) the $1.44 billion State Digital Equity Capacity Grant Program; and (3) the $1.25 billion Competitive Grant Program. The State Digital Equity Capacity Grant Program will provide funds to States and U.S. Territories to implement the State Digital Equity Plans developed pursuant to the State Digital Equity Planning Grant Program. The State Digital Equity Capacity Grant Program NOFO also establishes a competitive program to make both State Digital Equity Planning Grant Program funds and State Digital Equity Capacity Grant Program funds available to Native Entities to carry out digital equity and inclusion activities consistent with the Digital Equity Act.</t>
  </si>
  <si>
    <t>Office of Naval Research Science and Technology for Advanced Manufacturing Projects (STAMP)</t>
  </si>
  <si>
    <t>Others (see text field entitled "Additional Information on Eligibility" for clarification) All responsible sources from academia, industry and the research community worldwide may submit proposals under this BAA. Historically Black Colleges and Universities_x000D_
(HBCUs) and Minority Institutions (MIs) are encouraged to submit proposals and join others in submitting proposals; however, no portion of this BAA will be set aside for_x000D_
HBCUs/MIs, small businesses or other socio-economic participation. _x000D_
_x000D_
All businesses, both small and large, are encouraged to submit proposals and compete for funding consideration._x000D_
_x000D_
Federally Funded Research   Development Centers (FFRDCs), including Department of Energy National Laboratories, are not eligible to receive awards under this BAA.</t>
  </si>
  <si>
    <t>All responsible sources from academia, industry and the research community worldwide may submit proposals under this BAA. Historically Black Colleges and Universities (HBCUs) and Minority Institutions (MIs) are encouraged to submit proposals and join others in submitting proposals; however, no portion of this BAA will be set aside for HBCUs/MIs, small businesses or other socio-economic participation. All businesses, both small and large, are encouraged to submit proposals and compete for funding consideration.Federally Funded Research   Development Centers (FFRDCs), including Department of Energy National Laboratories, are not eligible to receive awards under this BAA.However, teaming arrangements between FFRDCs and eligible principal Offerors are allowed so long as such arrangements are permitted under the sponsoring agreement between the Government and the specific FFRDC.Navy laboratories, military universities and warfare centers as well as other Department of Defense and civilian agency laboratories are also not eligible to receive awards under this BAA and should not directly submit either white papers or full proposals in response to this BAA. If any such organization is interested in one or more of the programs described herein, the organization should contact an appropriate ONR Technical POC to discuss its area of interest.University Affiliated Research Centers (UARCs) are eligible to submit proposals under this BAA unless precluded from doing so by their Department of Defense UARC contract.Teams are also encouraged and may submit proposals in any areas; however, Offerors must be willing to cooperate and exchange software, data and other information in an integrated program with other contractors, as well as with system integrators, selected by ONR.Disclosures of current and pending support made in this application may render an applicant ineligible for funding. Prior to award and throughout the period of performance,DoD may continue to request updated continuing and pending support information, which will be reviewed and may result in discontinuation of funding.</t>
  </si>
  <si>
    <t>Development Innovation Ventures: Stage 4 Awards Annual Program Statement (APS)</t>
  </si>
  <si>
    <t>Others (see text field entitled "Additional Information on Eligibility" for clarification) See SECTION C: ELIGIBILITY INFORMATION</t>
  </si>
  <si>
    <t>To complement DIVâ€™s ongoing efforts, this Annual Program Statement (APS) is a specific call for DIVâ€™s new â€œStage 4 Initiativeâ€ to help support the scale-up and integration of â€œStage 4 innovationsâ€ from the existing DIV portfolio into broader USAID programming and budgets. Applicants who are interested in applying for DIVâ€™s core funding (Stages 1 through 3 and Evidence Generation grants) should visit www.usaid.gov/div/apply and should not submit a concept note under this APS. Potential applicants should read the rules below closely regarding the prerequisites for submitting a concept note to an addendum issued under this APS.</t>
  </si>
  <si>
    <t>U.S. Embassy Tbilisi PDS Cultural Small Grants Program</t>
  </si>
  <si>
    <t>Others (see text field entitled "Additional Information on Eligibility" for clarification) The Public Affairs Section encourages applications from organizations within the U.S. and Georgia that are: 	Registered not-for-profit organizations, including think tanks and civil society/non-governmental organizations with programming experience. 	Non-profit or governmental educational institutions. 	Governmental Institutions. 	Legal Entities of Public Law.</t>
  </si>
  <si>
    <t xml:space="preserve">A. PROGRAM DESCRIPTION
 The U.S. Embassy Tbilisi Public Diplomacy Section (PDS) of the U.S. Department of State is pleased to announce that funding is available through its Public Diplomacy Cultural Small Grants Program. This is an Annual Program Statement, outlining our funding priorities, the strategic themes we focus on, and the procedures for submitting requests for funding. Please carefully follow all instructions below.
Purpose of Small Grants: PDS Tbilisi invites proposals for programs that strengthen cultural ties between the U.S. and Georgia through cultural and exchange programming that highlights shared values and promotes bilateral cooperation. All programs must include an American cultural element, or connection with American expert/s, organization/s, or institution/s in a specific field that will promote increased understanding of U.S. policy and perspectives.
Examples of PDS Cultural Small Grants Program programs include, but are not limited to:
Â· Academic and professional lectures, seminars, and speaker programs.
Â· Artistic and cultural workshops, joint performances, and exhibitions.
Â· Cultural heritage conservation and preservation programs.
Â· Professional and academic exchanges and programs.
Priority Program Areas:
Â· Strengthening democracy, culture, institutions, values, and civil society through arts, particularly with a U.S. connection, in the regions of Georgia.
Â· Community-based cultural (heritage) preservation projects, or projects to support community engagement around or with Georgiaâ€™s cultural heritage.
Â· International Festivals held in Georgia to foster closer U.S.- Georgian ties and share U.S. culture. 
Â· Sporting events and exchanges to foster closer U.S.- Georgian ties through sports, promote inclusive sports, foster healthy living, or advance other shared priorities. 
Participants and Audiences:
The U.S. Embassy seeks geographically and demographically diverse audiences within the country and prioritizes proposals with a significant programming component outside of the capital. The Embassy encourages projects to focus on engaging youth, women and girls, seniors, people with disabilities, regions with ethnic and religious minority communities, Internally Displaced Persons (IDPs), and other vulnerable communities.
The following types of programs are not eligible for funding:
Â· Programs relating to partisan political activity;
Â· Charitable or development activities;
Â· Construction programs;
Â· Programs that support specific religious activities;
Â· Fund-raising campaigns;
Â· Lobbying for specific legislation or programs;
Â· Scientific research;
Â· Programs intended primarily for the growth or institutional development of the organization; or
Â· Programs that duplicate existing programs.
Authorizing legislation, type, and year of funding:
19.040 Smith-Mundt, Public Diplomacy Funding, FY25
B. FEDERAL AWARD INFORMATION
Length of performance period: up to 12 months 
Number of awards anticipated: 15 awards (dependent on amounts)
Award amounts: awards may range from a minimum of $5,000 to a maximum of $24,000
Total available funding: $250,000
Type of Funding: Fiscal Year 2025 Public Diplomacy Funding
Anticipated program start date: four to six months after submission deadline
This notice is subject to availability of funding.
Funding Instrument Type: Grant, Fixed Amount Award, or Cooperative agreement. Cooperative agreements are different from grants in that PDS staff are more actively involved in the grant implementation.
Program Performance Period: Proposed programs should be completed in 12 months or less. 
PDS will entertain applications for continuation grants funded under these awards beyond the initial budget period on a non-competitive basis subject to the availability of funds, satisfactory progress of the program, and a determination that continued funding would be in the best interest of the U.S. Department of State.
C. ELIGILIBITY INFORMATION
1. Eligible Applicants
The Public Affairs Section encourages applications from organizations and individuals within the U.S. and Georgia that are:
Â· Registered not-for-profit organizations, including think tanks and civil society/non-governmental organizations with programming experience.
Â· Non-profit or governmental educational institutions.
 Governmental Institutions.
Â· Legal Entities of Public Law.
Â· Individuals
For-profit or commercial entities/educational institutions are not eligible to apply. </t>
  </si>
  <si>
    <t>Limited Competition: Physician Scientist Transition to Independence in Blood Science Research (R00 - Clinical Trial Optional)</t>
  </si>
  <si>
    <t>The purpose of the NHLBI Career Pathway to Independence in Blood Science Award for Physician Scientists (R00) is to increase and maintain a strong cohort of new and talented, NHLBI supported, independent investigators in blood science. This program is designed to facilitate a timely transition of outstanding blood science researchers with a clinical doctorate degree from mentored research positions to independent, tenure-track or equivalent faculty positions.
This NOFO offers the opportunity for current RFA-HL-20-001 or RFA-HL-20-002 K99 awardees to apply for the independent phase (R00) of the program. In the R00 phase, successful blood science physician scientist scholars will receive up to three years of funding to continue their research activity with support from this FOA, which will require updated research plans and a limited competition review.</t>
  </si>
  <si>
    <t>Mathematical Foundations of Digital Twins</t>
  </si>
  <si>
    <t>The Division of Mathematical Sciences (DMS) in the Directorate for Mathematical and Physical Sciences (MPS) at the National Science Foundation (NSF) and the Air Force Office of Scientific Research (AFOSR) plan to jointly support foundational mathematical and statistical research on Digital Twins in applied sciences. Recent years have witnessed a significant increase in the demand and interest in applications that involve collaborative teams developing and analyzing Digital Twins to support decision making in various fields, including science, engineering, medicine, urban planning, and more. Both agencies recognize the need to promote research aiming to stimulate an interplay between mathematics/statistics/computation and practical applications in the realm of Digital Twins. This program encourages new collaborative efforts within the realm of Digital Twins, aiming at stimulating fundamental research innovation, pushing, and expanding the boundaries of knowledge, and exploring new frontiers in mathematics and computation for Digital Twin development, and its applications. By leveraging this synergy, the program aims to harness science, technology, and innovation to address some of our Society s most pressing challenges.</t>
  </si>
  <si>
    <t>Lethal Means Safety Suicide Prevention Research in Healthcare and Community Settings (R34 Clinical Trial Required)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</si>
  <si>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Organizations) are not eligible to apply.
Non-domestic (non-U.S.) components of U.S. Organizations are not eligible to apply.
Foreign components, as defined in the NIH Grants Policy Statement, are not allowed.</t>
  </si>
  <si>
    <t>NIMH seeks applications to evaluate the preliminary effectiveness of therapeutic and service delivery interventions that utilize lethal means safety strategies to reduce suicide risk in healthcare and community settings. Behavioral health clinics that incorporate lethal means counseling into their programming have been associated with significant reductions in suicide attempts and death. Yet, the field is lacking strong evidence on the effectiveness of these strategies tested in healthcare and community settings. Pilot effectiveness research will advance knowledge regarding optimization strategies, therapeutic change mechanisms, and inform decisions about whether further effectiveness testing is warranted. The research will provide preliminary evidence on the extent to which lethal means safety interventions more optimally lead to improved safety (e.g., number/percent of firearms safely stored, overdose injury codes for an individual) and lower suicide risk.
In this pilot phase of effectiveness research, the trial should be designed to evaluate the feasibility, tolerability, acceptability, safety, and potential effectiveness of the approach; to address whether the intervention engages the target(s)/mechanisms(s) that is/are presumed to underlie the intervention effects; and to obtain preliminary data needed as a pre-requisite to a larger-scale effectiveness trial (e.g., comparative effectiveness study, practical trial) designed to definitively test the effectiveness of the intervention.</t>
  </si>
  <si>
    <t>Focus on Recruiting Emerging Climate and Adaptation Scientists and Transformers</t>
  </si>
  <si>
    <t>Others (see text field entitled "Additional Information on Eligibility" for clarification) *Who May Submit Proposals: Proposals may only be submitted by the following:
  -
Track 1:
Institutions of Higher Education (IHEs) -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Non-profit, non-academic organizations: Independent museums, observatories, research labs, professional societies and similar organizations in the U.S. associated with educational or research activities.
Track 2 and FORECAST Planning Grants:
Master s degree-granting Emerging Research Institutions (defined in 42  USC 18901 as institutions of higher education with an established undergraduate or graduate program that have less than $50,000,000 in Federal research expenditures) that award degrees in STEM disciplines supported by NSF and that are accredited in, and have a campus located in the US. Information from NSF 24-308, the Higher Education Research and Development (HERD) Survey  Table 24. Federally financed higher education R D expenditures, ranked by FY 2022 R D expenditures: FYs 2010 will be used to determine institutional eligibility ( a href= ).</t>
  </si>
  <si>
    <t>Focus On Recruiting Emerging Climate and Adaptation Scientists and Transformers (FORECAST) seeks to facilitate the transition from status quo graduate career preparation to a student-centered model with a particular emphasis on building entrepreneurial and innovation capacity at emerging research institutions (ERIs). Transformers are scientists ready to tackle the challenges the nation and world are facing due to climate change. This opportunity will adopt the spirit of multiple directives for the research community; for example, the National Academies of Sciences, Engineering, and Medicine (NASEM) report on Earth System Scienceand the Advisory Committee for Environmental Research and Education report on Engaged Research. These directives call on the research enterprise to support the building of a robust scientific workforce ready to work with communities in addressing societal challenges. Through convergence research approaches to address societal challenges, the  transdisciplinary researchers engaged in FORECAST will foster community resilience and the translation of research outcomes for societal benefits, as well as gain a broader understanding of the governmental context related to these issues. A new generation of scientists trained in "engaged research" will be expected to have a national impact in communities that may be disproportionately affected by climate change impacts. The program will build cohorts of innovative scholars from the full spectrum of diverse talent at emerging research institutions to include groups historically excluded in science, technology, engineering and mathematics (STEM). Participants, who are senior students in undergraduate programs and students who are in master's degree programs, will be supported through intentional professional development activities. FORECAST participants must be US citizens or permanent residents.
FORECAST proposals will fall into three categories: Track 1, Track 2, and FORECAST Planning grants. Track 1 will support one Coordination Hub, to coordinate support for rising seniors from emerging research institutions (ERIs) or historically excluded and underserved groups as part of a national cohort to participate in structured professional development opportunities. Track 2 projects will support cohorts of Master's degree students at ERIs. Mentorship and capacity building should be central to the cohort approach. FORECAST Planning grant proposals will build capacity at ERI institutions and with the appropriate partners to undertake the activities necessary to establish a future FORECAST track 2 cohort.</t>
  </si>
  <si>
    <t>Resilient Systems Office: Office-Wide Innovative Solutions Opening for Advanced Research Projects Agency for Health</t>
  </si>
  <si>
    <t>This ISO seeks solution summary and proposal submissions for projects that fall within the scope of the ARPA-H mission Resilient Systems Office (RSO). RSOâ€™s interest areas will address systemic challenges across the healthcare and public health landscape by investing in cutting-edge technologies that address long-standing gaps in the quality, efficacy, and consistent availability of care.Aspects of todayâ€™s health and public health systems remain fragile due to systemic challenges, which include rising healthcare costs, inadequate healthcare coverage for significant populations, outdated infrastructure, and health disparities among different demographic groups. Acute challenges, such as hospital closures, supply chain disruptions, staffing shortages, cyber-attacks, public health crises, and the emergence of new diseases, further exacerbate existing fragilities, making it more difficult to maintain high standards of care. These challenges are compounded by the fact that systems remain fragmented, hindering the ability to gain comprehensive insights, make informed decisions, develop tailored interventions, and share critical health information between stakeholders.RSO seeks solution summaries and proposals that drive innovations to enhance the adaptability, reliability, and interoperability of the health ecosystem. Of interest are innovations that foster flexibility and enable adaptation to system stressors, so that people and systems remain well-positioned to deliver high-quality care and improve health outcomes. The following interest areas categorize the ground-breaking research we seek to support:Sociotechnical System Innovation:â€¢ Innovate user-centric digital health tools, platforms, technologies, and intervention models that improve outcomes across the health continuum, including prevention, diagnosis, and treatment of physical, mental, and behavioral health.â€¢ Approaches to build trust in the healthcare system and distribute high-quality health guidance in an understandable manner that improves patient outcomes.â€¢ Novel real-time measurement tools to track health outcomes, evaluate post-market performance of new interventions, and enable convergence on the most effective strategies to improve the quality of care, especially for underserved communities.â€¢ Other population centered innovations to create more resilient communities and subpopulations. Innovations might include aggregate improvements to quality of care and better physical, mental, and behavioral health outcomes for the health ecosystem.Health Ecosystem Integration:â€¢ Novel ways to collect, protect, secure, integrate, analyze, communicate, and present health data, including but not limited to advances in privacy, cyber security, artificial intelligence with enhanced patient safety properties, low-code or no-code technologies, semantic approaches, and rapid integration techniques.â€¢ Strategies and technologies to leverage homes, community centers, pharmacies, and other accessible locations to enable new modalities of high-quality care, expand the reach of clinical research, or integrate end-user feedback to rapidly iterate prototype designs.â€¢ Approaches to strengthen the connectivity and interoperability of health data and devices to 5 enable the safe, secure, and seamless exchange of information among healthcare providers, researchers, and stakeholders.â€¢ Other novel approaches to increase the interoperability of health-related systems in support of improved health outcomes and enhanced transparency across the health ecosystem.Adaptive   Antifragile Solutions:â€¢ Creative approaches to enhance the stability and dependability of the health ecosystem through new adaptive paradigms, methods that anticipate and mitigate disruptions before they occur, and enhancements to emergency response.â€¢ Approaches that enable health infrastructure to rapidly integrate information from new sensors; create decision support tools; adapt supply chains, manufacturing, and logistics; and better leverage the workforce during public health emergencies.â€¢ Novel methods to engineer resilient tissues, microbiomes, and biophysical systems to combat disease or maintain health.â€¢ Other novel approaches to enhance adaptability and reduce fragility within the health ecosystem.Proposals are expected to use innovative approaches to enable revolutionary advances in science, technology, systems, or methodology. Specifically excluded are proposals that represent an evolutionary or incremental advance in the state of the art or technology that has reached the clinical trial stage. Additionally, proposals directed towards policy changes, traditional education and training, or center coordination, formation, or development, and construction of physical infrastructure are outside the scope of the ARPA-H mission</t>
  </si>
  <si>
    <t>Scalable Solutions Office: Office-Wide Innovative Solutions Opening for Advanced Research Projects Agency for Health</t>
  </si>
  <si>
    <t>This ISO seeks solution summaries and proposals for projects that fall within the general scope of the ARPA-H Scalable Solutions mission office. SSO expands what is technically possible by developing approaches that will leverage an interdisciplinary approach and collaborative networks to address challenges of geography, distribution, manufacturing, data and information, thereby improving health care access and affordability. In the United States, many communities and remote areas lack access to timely and quality health care, which leads to disparities in health outcomes for those populations. Bottlenecks during the manufacturing processes of products and health technologies also lead to delays and limited availability, preventing effective distribution of health care solutions to areas of need, especially in emergencies.ARPA-H SSO seeks solutions to improve the scalability and affordability of health care solutions, bridge gaps in underserved areas, and extend remote access to expertise by developing location-specific interventions, telemedicine solutions, and mobile health clinics. Solutions should focus on rapid innovation and the use of partnerships, as well as flexible distribution networks and streamlined manufacturing processes. The following SSO interest areas categorize the ground-breaking solutions we seek to support:Scalable Technologies and Interventions:â€¢ Approaches to improve affordability and equitable access to health care that are adaptable to various geographic, demographic, economic contexts and can be rapidly deployed at scale (e.g., drug-repurposing*, telemedicine, point-of-care diagnostics, and modular health care infrastructure).â€¢ Tailored solutions for the pediatric population that provide parity in access to treatments and other health care interventions with the adult population and adapt to the pediatric patientâ€™s changing physiology and developmental status over the course of years.â€¢ Transformational approaches to reduce or eliminate health disparities, including tools and models for product design and care delivery that scale novel approaches in human factors and human-centered design to respond to full diversity of patients.â€¢ Tools to enable the scaling of provider and institutional capabilities (e.g., school nurses and schools, walk-in clinics, homesteading care) to address unmet health care access needs and expand availability of critical services.â€¢ Foundational capabilities to accelerate diagnoses and reduce the cost of treatments for rare diseases wherever patients are, without the need for specialized facilities or healthcare expertise.* Solution summaries and proposals that focus on testing drugs for effectiveness for other disease states or use cases, are unlikely to be funded unless including additional R D, or providing gains in cost reduction, accessibility, and/or equity.Collaborative Distribution Networks:â€¢ Methods for standardization, automation, and democratization of complex procedures 5 including, but not limited to, histopathology, rare disease diagnosis and treatment, and surgical interventions to ensure access and delivery to populations diverse in demographics, geographies, and resources at scale.â€¢ Approaches to enhance delivery of effective healthcare solutions in rural or low resource settings, including but not limited to "last mile deliveryâ€, at-home monitoring, imaging, drug delivery, telehealth augmentation, and support for remote medical procedures with limited need for specialized training.â€¢ Technologies to enable the deployment of critical healthcare resources rapidly, equitably, and securely at scale to the point of need in permissive and non-permissive (i.e., damaged infrastructure, cyber-denied) environments during a public health crisis or natural disaster.â€¢ Solutions to scale education and training of critical healthcare resources for health care providers and patients to ensure information integrity to prevent negative impacts to resource use/uptake.â€¢ Innovative information technology, data and analytic products and technologies to enable ordering, inventory management, situational awareness, allocation planning and demand forecasting of critical healthcare resources during a public health crisis or natural disaster.Biomanufacturing Innovations*:â€¢ Innovative manufacturing technologies and approaches that reduce cost, shorten the timeline for production, advance domestic competitiveness and reduce supply chain risk of biologics, cellular and gene therapies, pharmaceuticals, medical devices and personal protective equipment.â€¢ New approaches to support predictable, programable biological production of conventional and novel materials reliability at scale in a cost-effective sustainable manner.â€¢ Novel solutions to reduce the reliance on specialized handling and cold chain management of pharmaceuticals and biologics.â€¢ Scalable innovations to advance and strengthen biomanufacturing supply chain and resolve bottlenecks including:o Advances in production of active pharmaceutical ingredients, process consumables, and other critical materials (i.e., enzymes, cell lines, etc);o Novel biomanufacturing-related data products, technologies or models to integrate into supply chain situational awareness systems;o Alternative materials and new manufacturing capabilities for personal protective equipment; ando Improvement of capabilities sustainably re-shore manufacturing and utilize a broad array of readily accessible and cost-efficient feedstocks as part of strengthening the local and national industry base.â€¢ Analytics and novel sensor systems to precisely manage bioproduction, real-time release assays, and predictive capabilities to inform tuning of biological chassis for efficient and effective scale-up of manufacturing to industrial scale.*ARPA-H is not interested in approaches that merely increase capacity reservation.Other high-quality submissions that propose revolutionary technologies that meet the goals of SSO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changes, traditional education and training, or center coordination, formation, or development, and construction of physical infrastructure are outside the scope of the ARPA-H mission.</t>
  </si>
  <si>
    <t>Health Science Futures: Office-Wide Innovative Solutions Opening for Advanced Research Projects Agency for Health</t>
  </si>
  <si>
    <t xml:space="preserve">This ISO seeks solution summaries and proposal submissions for projects that fall within the general scope of the ARPA-H Health Science Futures (HSF) mission office. HSF expands what is technically possible by developing approaches that will remove the scientific and technological limitations that stymie progress towards the healthcare of the future. HSF supports cutting-edge, often disease-agnostic research programs that have the potential for translational real-world change.Considering the current healthcare challenges that we face today, the goal of achieving better health outcomes is a moving target that requires daring and adaptable solutions. HSF awardees will develop innovative technologies, tools, and platforms that can be applied to a broad range of diseases. The following interest areas define the ground-breaking research we seek to support:Breakthrough Technologies: Paradigm shifting technologies that will change how we approach the diagnosis, treatment, and impact of diseases and conditions. â€¢ Novel approaches to improve maternal and fetal medicine, decrease maternal morbidity and mortality during birth, and the post-partum period. Efforts should include new technology to monitor, detect, and/or treat maternal and/or fetal complications with less invasive and traumatic methods.â€¢ Foundational advances in genetic, epigenetic, cellular, tissue, and organ replacement therapies that enable personalized medical interventions at scale in a manner that is accessible, cost-effective, and designed to impact the communities of greatest need.â€¢ Interventions that target and reverse disease pathogenesis and/or enhance plasticity to address diseases of the nervous, neuromuscular, skeletal, lymphatic, cardiovascular, and other organ systems.â€¢ Novel approaches to diagnose and treat diseases of the lymphatic system, particularly rare diseases, with a focus on the effects of genetic expression in the lymphatic system and/or models demonstrating the relationship between lymphatic dysfunction and health and disease.Transformative Tools: Novel, agile solutions that will move from bench to bedside quickly, facilitating revolutionary advances in medical care.â€¢ Development of tools that counter idiosyncratic, off-target, or chronic effects of medicines that are commonly used or that are being used experimentally to treat or prevent disease.â€¢ Development of bionics to restore sight, hearing, taste, or smell.â€¢ Site-selective neuromodulation to regulate specific physiological functions and treat chronic health conditions such as inflammation, pain, and metabolic or endocrine disorders.â€¢ Synthetic biology approaches to diagnosing, treating, and/or curing a multitude of diseases.â€¢ Novel physics and/or chemistry-based approaches to improve imaging that reduces cost, increases availability, expands capability, improves resolution, reduces exposure to radiation, and accommodates pediatric patient populations.â€¢ Integrated sensing and delivery devices for treating and diagnosing chronic health conditions, including mental health conditions or substance use disorders.â€¢ Miniaturization of complex hardware to enable broader access to pediatric and other patient populations, as well as portability, such as diagnostic, treatment, imaging, or other devices.Platform Systems: Adaptable, multi-application systems and technologies that are reconfigurable for a wide variety of clinical needsâ€¢ Novel molecular platform approaches, including the modulation of host systems, delivery to targets with spatial and temporal precision, and mitigation of off-target effects to accelerate interventions that dramatically improve health outcomes.â€¢ New approaches to accelerate and routinize mammalian and microbial cellular engineering to enable next generation therapeutic applications, develop multiscale interventions, and automate hypothesis generation and discovery to expand those applications to disease states in which cellular therapies have not traditionally been employed.â€¢ Innovative approaches at the intersection of artificial intelligence, high performance computing (including quantum computing) and biological systems, including enabling de novo design of biomolecules with entirely new phenotypes.Other high-quality submissions that propose revolutionary technologies that meet the goals of HSF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changes, traditional education and training, or center coordination, formation, or development, and construction of physical infrastructure are outside the scope of the ARPA-H mission. </t>
  </si>
  <si>
    <t>Proactive Health Office: Office-Wide Innovative Solutions Opening for Advanced Research Projects Agency for Health</t>
  </si>
  <si>
    <t xml:space="preserve">Despite huge advances in the development of novel medical therapies, Americans still live with poor health outcomes and suffer from the ill-effects of disease. Current medical research and the medical delivery system in the United States focus primarily on the reactive treatment of illnesses, despite the fact that many diseases or their ill-effects are preventable.The Proactive Health Office (PHO) at ARPA-H is seeking solutions to improve the healthspan and health outcomes of Americans prior to the onset of disease and/or the development of diminished quality of life from illness. Specifically, PHO hypothesizes that 1) population-level improvements in access to and uptake of disease prevention and wellness-promoting behaviors and 2) development of novel early-detection methods and prophylactic interventions could drastically improve the health of American throughout their lives, and 3) that system level innovations are required for delivery of proactive health effectively. Specific PHO interest areas include:Novel prevention, detection and prophylactic treatment methods for disease:â€¢ Novel and scalable methods for early detection of disease and illness including the use of low/no-cost sensing modalities.â€¢ Prophylactic approaches to prevention of diseases and harmful disease outcomes.â€¢ Methods for continuous and widespread sensing of health state and early disease indicators that can be deployed at population-scale.Population-level approaches to increase the adoption of prevention and wellness behaviors: â€¢ Early indicators of disease and pre-disease states and measures associated with proactive health outcomes that are both inexpensive and effective. Low-cost, high-uptake mental health resiliency and mindfulness building methods for individuals.â€¢ Methods to inform and educate individuals about healthy behaviors including lifestyle and preventative medical measures.â€¢ Methods that incentivize individuals to adopt and maintain healthy behaviors.â€¢ Novel approaches to increasing individual healthspan and independence even in the absence of disease.System innovation for the delivery of proactive health outcomes: â€¢ Novel, robust and predictive surrogates for long-term health outcomes with associated epidemiological models.â€¢ Valuation models for long-term treatment effects for vaccination, screening and other public health interventions.â€¢ New funding and delivery models for preventative intervention.Other high-quality submissions that propose revolutionary technologies that meet the goals of PHO will be considered even if they do not address the topics listed above.Proposals are expected to use innovative approaches to enable revolutionary advances in medicine and healthcare, and the science and technology underlying these areas. While approaches that are disease agnostic are encouraged, ARPA-H welcomes proposals that bring radically new insights to address specific diseases including, but not limited to, cancer, diabetes, neurological diseases, pediatric and maternal/fetal health, infectious diseases, and cardiovascular disease.Specifically excluded are proposals that represent an evolutionary or incremental advance in the current state of the art or technology that has reached the clinical trial stage. An example of this type of proposal might include the request to fund clinical trials of an otherwise developed product. Additionally, proposals directed towards policy advocacy, traditional education and training, or center coordination, formation, or development, and construction of physical infrastructure are outside the scope of the ARPA-H mission. </t>
  </si>
  <si>
    <t>Computer Science for All</t>
  </si>
  <si>
    <t>This program aims to provide all U.S. students with the opportunity to participate in computer science (CS) and computational thinking (CT) education in their schools at the preK-12 levels. With this solicitation, the National Science Foundation (NSF) focuses on both research and research-practice partnerships (RPPs) that foster the research and development needed to bring CS and CT to all schools. Specifically, this solicitation aims to provide (1) high school teacherswith the preparation, professional development (PD) and ongoing support they need to teach rigorous computer science courses; (2) preK-8 teachers with the instructional materials and preparation they need to integrate CS and CT into their teaching; and (3) schools and districtswith the resources needed to define and evaluate multi-grade pathways in CS and CT.</t>
  </si>
  <si>
    <t>Artificial Intelligence, Formal Methods, and Mathematical Reasoning</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</si>
  <si>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
 Institutions of Higher Education (IHEs) - Two- and four-year IHEs (including community colleges) accredited in, and having a campus located in the US, acting on behalf of their faculty members. 
*Who May Serve as PI:
As of the date the proposal is submitted, any PI, co-PI, or senior/key personnel must hold either:
  a tenured or tenure-track position,or
  a primary, full-time, paid appointment in a research or teaching position
at a US-based campus of an organization eligible to submit to this solicitation (see above), with exceptions granted for family or medical leave, as determined by the submitting organization. Individuals withprimaryappointments at for-profit non-academic organizations or at overseas branch campuses of U.S. institutions of higher education are not eligible.</t>
  </si>
  <si>
    <t>The Artificial Intelligence, Formal Methods, and Mathematical Reasoning (AIMing) program seeks tosupport research at the interface of innovative computational and artificial intelligence (AI) technologies and new strategies/technologies in mathematical reasoning to automate knowledge discovery. Mathematical reasoning is a central ability of human intelligence that plays an important role in knowledge discovery. In the last decades, both the mathematics and computer science communities have contributed to research in machine-assisted mathematical reasoning, encompassing conjecture, proof, and verification. This has been in the form of both formal methods and interactive theorem provers, as well as using techniques from artificial intelligence. Recent technological advances have led to a surge of interest in machine-assisted mathematical reasoning from the mathematical sciences, formal methods, and AI communities. In turn, advances in this field have potential impact on research in AI.</t>
  </si>
  <si>
    <t>NRL Long Range Broad Agency Announcement (BAA) for Basic and Applied Research</t>
  </si>
  <si>
    <t>DOD-ONR-NRL</t>
  </si>
  <si>
    <t>Naval Research Laboratory</t>
  </si>
  <si>
    <t>Amendment 0001The purpose of this amendment is to extend the due date for acceptance of White Papers. All other terms and conditions remain unchanged.--------------------------------------------------------------The Naval Research Laboratory is interested in receiving innovative proposals that offer potential for advancement and improvement in the technical topic areas listed. This notice constitutes a Broad Agency Announcement (BAA) as contemplated in FAR 6.302(d) that provides for the competitive selection of research proposals. The Government reserves the right to select for award all, some, or none of the proposals received. Awards under this BAA are expected to take the form of Contracts, Grants, Cooperative Agreements and Other Transactions may also be awarded if appropriate. NRL encourages Educational Institutions, Small Businesses (SBs), Small Disadvantaged Business Concerns (SDBs) and Historically Black Colleges and Universities (HBCUs) and Minority Institutions (MIs) to submit proposals under this BAA.In order to conserve valuable offeror and Government resources, prospective offerors shall first submit a White Paper (WP) to the email address identified in the individual Summary Topics contained in Appendix 1, to include a rough cost estimate. If there is interest in the proposed research the offeror will be invited to submit a Formal Proposal. The selection of proposals for award will be based on a scientific review of proposals submitted in response to each BAA Summary Topic. The major purpose of the evaluation will be to determine the relative merit of the technical approach of each proposal. Business and contractual aspects, including proposed cost and cost realism, will also be considered as part of the evaluation. Selection of proposals for award will be based on the potential benefits to the Government weighed against the cost of the proposals, in view of the availability of funds. The complete BAA including proposal preparation instructions, award considerations, and evaluation criteria is also available at https://www.nrl.navy.mil/Doing-Business/Contracts/Broad-Agency-Announcements/ .</t>
  </si>
  <si>
    <t>Hispanic-Serving Institutions: Enriching Learning, Programs, and Student Experiences</t>
  </si>
  <si>
    <t>Others (see text field entitled "Additional Information on Eligibility" for clarification) *Who May Submit Proposals: Proposals may only be submitted by the following:
  - div class= OutlineElement Ltr SCXW191473771 BCX9 
 p class= Paragraph SCXW191473771 BCX9 span class= TextRun SCXW191473771 BCX9  lang=  xml:lang=  data-contrast= To be eligible for funding in the IEP Track, an institution must meet the following criteria: span class= EOP SCXW191473771 BCX9  data-ccp-props= 
 div class= SCXW191473771 BCX9 
 div class= ListContainerWrapper SCXW191473771 BCX9 ol class= NumberListStyle1 SCXW191473771 BCX9  start= 
 li class= OutlineElement Ltr SCXW191473771 BCX9  data-leveltext=  data-font=  data-listid=  data-list-defn-props=  data-aria-posinset=  data-aria-level= 
 p class= Paragraph SCXW191473771 BCX9 span class= TextRun SCXW191473771 BCX9  lang=  xml:lang=  data-contrast= Be an accredited institution of higher education. span class= EOP SCXW191473771 BCX9  data-ccp-props= 
 div class= ListContainerWrapper SCXW191473771 BCX9 ol class= NumberListStyle1 SCXW191473771 BCX9  start= 
 li class= OutlineElement Ltr SCXW191473771 BCX9  data-leveltext=  data-font=  data-listid=  data-list-defn-props=  data-aria-posinset=  data-aria-level= 
 p class= Paragraph SCXW191473771 BCX9 span class= TextRun SCXW191473771 BCX9  lang=  xml:lang=  data-contrast= Offer Undergraduate STEM educational programs that result in certificates or degrees. span class= EOP SCXW191473771 BCX9  data-ccp-props= 
 div class= ListContainerWrapper SCXW191473771 BCX9 ol class= NumberListStyle1 SCXW191473771 BCX9  start= 
 li class= OutlineElement Ltr SCXW191473771 BCX9  data-leveltext=  data-font=  data-listid=  data-list-defn-props=  data-aria-posinset=  data-aria-level= 
 p class= Paragraph SCXW191473771 BCX9 span class= TextRun SCXW191473771 BCX9  lang=  xml:lang=  data-contrast= span class= NormalTextRun SCXW191473771 BCX9 Satisfy the definition of an HSI as specified in section 502 of the Higher Education Act of 1965 (20 U.S.C. 1101a). span class= AdvancedProofingIssue SCXW191473771 BCX9 In particular, institutions span class= NormalTextRun SCXW191473771 BCX9  will be required to submit an updated eligibility letter from the U.S. Depar span class= NormalTextRun SCXW191473771 BCX9 tment of Education as a supplementary document. span class= EOP SCXW191473771 BCX9  data-ccp-props= 
 div class= ListContainerWrapper SCXW191473771 BCX9 ol class= NumberListStyle1 SCXW191473771 BCX9  start= 
 li class= OutlineElement Ltr SCXW191473771 BCX9  data-leveltext=  data-font=  data-listid=  data-list-defn-props=  data-aria-posinset=  data-aria-level= 
 p class= Paragraph SCXW191473771 BCX9 span class= TextRun SCXW191473771 BCX9  lang=  xml:lang=  data-contrast= Be designated as an HSI by the U.S. Department of Education ( a class= Hyperlink SCXW191473771 BCX9  href=  rel= noreferrer noopener  target= span class= TextRun Underlined SCXW191473771 BCX9  lang=  xml:lang=  data-contrast= span class= NormalTextRun SCXW191473771 BCX9  data-ccp-charstyle= span class= TextRun SCXW191473771 BCX9  lang=  xml:lang=  data-contrast= span class= NormalTextRun SCXW191473771 BCX9 )  span class= ContextualSpellingAndGrammarError SCXW191473771 BCX9 span class= NormalTextRun SCXW191473771 BCX9  the time of submission. Documentation from the Department of Education confirming HSI status must be submitted as a supplemental document. span clas</t>
  </si>
  <si>
    <t xml:space="preserve">
Hispanic Serving Institutions (HSIs)are animportant component of the nation s higher education ecosystem and play a critical role in realizing the National Science Board s vision for a more diverse and capable science and engineering workforce1,2.Aligned with this vision and the NSF Strategic Plan3, the goals of the NSF HSI Program are to:
Enhance the quality of undergraduate science, technology, engineering, and mathematics (STEM) education at HSIs.
Increase the recruitment, retention, and graduation rates of students pursuing associate s or baccalaureate degrees in STEM at HSIs.
Meeting these goals requiresinstitutions to understand and embrace their students strengths, challenges, and lived experiences. While this can happen in many ways and across many parts of an institution, theHispanic Serving Institutions: Enriching Learning, Programs, and Student Experiences (HSI:ELPSE)solicitationis specifically focused on studying and improving the student experience in the following settings:
STEM courses, particularly for students pursuing STEM degrees;
Certificate, minor, and/or degreeprograms;
Academic departments or divisions; and
Schools and colleges that represent a partof the entire institution (e.g., a School of Engineering or a College of Natural Sciences).
Institutions are encouraged to consider how their mission and designation as anHSI could reimagine and/or strengthen courses, degree programs, departments, or divisions. The HSI:ELPSE solicitation welcomes projects that look to implement, test and refine promising practices and/or conduct research related to broadening participation or improving recruitment, retention, graduation and other positive outcomes for undergraduates in STEM.
The HSI:ELPSEsolicitation supportsprojects that are purposefully designed to meet students where they are, accounting for both their assets and the challenges they may face. Identities and experiences are not determined solely by membership in a single monolithic population of students (e.g., Hispanic, first-generation, commuter, etc.). Consequently, institutions are expected to use institutional datato identify equity gaps, identify areas of need,and unpack the factors that shape students  individual realities and shared experiences. Perspectives gained from these data should be central to the design of the project.
This solicitation includes the following tracks:
Implementation and Evaluation Projects (IEP): Levels 1 and 2
Educational Instrumentation (EI)
Please see below for specific information about each track. Generally, proposals to theIEP track will center on one or more of the following: courses; curricular improvements; pedagogy; support structures inside and outside of the classroom; degree programs; and student pathways.
The HSI:ELPSE solicitation will also consider proposals designed to increase access to computing resources and/or laboratory instrumentation needed to provide high-quality undergraduate STEM education at the following types of institutions: (1) HSIs in EPSCoR jurisdictions; and (2) HSI Primarily Undergraduate Institutions (PUIs) in all other (non-EPSCoR) jurisdictions.Please see the discussion of the Educational Instrumentation Track below for specific details.
</t>
  </si>
  <si>
    <t>BRAIN Initiative: Scaled reagent resources for brain cell type-specific access across vertebrate species (U01 Clinical Trial Not Allowed)</t>
  </si>
  <si>
    <t>This BRAIN Initiative Notice of Funding Opportunity (NOFO) is to scale up efforts for viral, non-viral, transgenic, and gene regulatory element screening technologies and create reagent resources to access brain cell types. This NOFO is part of the BRAIN Initiative Armamentarium for Brain Cell Access transformative project. Reagent development efforts will apply gene transfer, gene regulation, genome engineering, activity sensor/effector, and atlasing technologies for use in both genetically tractable and less tractable systems, including primates and human tissue, which are relevant for future translational efforts. Reagent validation studies will provide feedback to improve scaled resources, informed by deeper understanding of neural gene transfer and regulation mechanisms. Precise targeting could ultimately aid in human disorders, for example, by providing access for gene editors to specific cell types to repair mutations.</t>
  </si>
  <si>
    <t>Division of Integrative Organismal Systems Core Programs</t>
  </si>
  <si>
    <t>The Division of Integrative Organismal Systems (IOS) Core Programs Track supports research to understand why organisms are structured the way they are and function as they do. Proposals are welcomed in all of the core scientific program areas supported by the Division of Integrative Organismal Systems (IOS). Areas of inquiry include, but are not limited to, developmental biology and the evolution of developmental processes, development, structure, modification, function, and evolution of the nervous system, biomechanics and functional morphology, physiological processes, symbioses and microbial interactions, interactions of organisms with biotic and abiotic environments,plant and animal genomics, and animal behavior. Proposals should focus on organisms as a fundamental unit of biological organization. Principal Investigators are encouraged to apply systems approaches that will lead to conceptual and theoretical insights and predictions about emergent organismal properties.
_x000D_
The IntBIOTrackinvites submission of collaborative proposals totackle bold questions in biology thatrequire an integrated approach to make substantive progress. Integrative biological research spans subdisciplines and incorporates cutting-edge methods, tools, and concepts from each to produce groundbreaking biological discovery that is synergistic, such that the whole is greater than the sum of the parts. The research should produce a novel, holistic understanding of how biological systems function and interact across different scales of organization, e.g., from molecules to cells, tissues to organisms, species to ecosystems and the entire Earth.Where appropriate, projects should apply experimental strategies, modeling, integrative analysis, advanced computation, or other research approaches to stimulate new discovery and general theory in biology.</t>
  </si>
  <si>
    <t>Plant Genome Research Program</t>
  </si>
  <si>
    <t xml:space="preserve">_x000D_
The Plant Genome Research Program (PGRP) supports genome-scale research that addresses challenging questions of biological, societal and economic importance. PGRP encourages the development of innovative tools, technologies, and resources that empower a broad plant research community to answer scientific questions on a genome-wide scale. Emphasis is placed on the scale and depth of the question being addressed and the creativity of the approach. Data produced by plant genomics should be usable, accessible, integrated across scales, and of high impact across biology. Training, broadening participation, and career development are essential to scientific progress and should be integrated in all PGRP-funded projects.
_x000D_
Two funding tracks are currently available:
_x000D_
_x000D_
RESEARCH-PGR TRACK: Genome-scale plant research to address fundamental questions in biology, including processes of economic and/or societal importance._x000D_
TRTech-PGR TRACK: Tools, resources, and technology breakthroughs that further enable functional plant genomics._x000D_
</t>
  </si>
  <si>
    <t>Division of Environmental Biology</t>
  </si>
  <si>
    <t>The Division of Environmental Biology (DEB) Coresupports research and training on evolutionary and ecological processes acting at the level of populations, species, communities, ecosystems, macrosystems, and biogeographic extents. DEB encourages research that elucidates fundamental principles that identify and explain the unity and diversity of life and its interactions with the environment over space and time. Research may incorporate field, laboratory, or collection-based approaches; observational or manipulative studies; synthesis activities; phylogenetic discovery projects; or theoretical approaches involving analytical, statistical, or computational modeling. Proposals should be submitted to the core clusters (Ecosystem Science, Evolutionary Processes, Population and Community Ecology, and Systematics and Biodiversity Science). DEB also encourages interdisciplinary proposals that cross conceptual boundaries and integrate over levels of biological organization or across multiple spatial and temporal scales.Research addressing ecology and ecosystem science in the marine biome should be directed to the Biological Oceanography Program in the Division of Ocean Sciences; research addressing evolution and systematics in the marine biome should be directed to the Evolutionary Processes or Systematics and Biodiversity Science programs in DEB.
_x000D_
All programs in the Directorate for Biological Sciences strive to achieve the goals laid out in theNSF Strategic Plan. Among these goals are: (i) to empower Science Technology, Engineering, and Mathematics (STEM) talent to fully participate in science and engineering; (ii) to enable creation of new knowledge by advancing the frontiers of research and enhancing research capability; and (iii) to benefit society through translation of knowledge into solutions.In line with these goals,DEB welcomes the submission of proposals to this funding opportunity that include the participation of the full spectrum of diverse talent in STEM, e.g., as PI, co-PI, senior personnel, postdoctoral scholars, graduate or undergraduate students or trainees. This includes historically under-represented or underserved populations, diverse institutions including Minority Serving Institutions (MSIs), Primarily Undergraduate Institutions (PUIs), and two-year colleges, as well as major research institutions. Proposals from EPSCoR jurisdictions are especially encouraged.
_x000D_
Also aligned with the NSF Strategic Plan, DEB encouragessubmission of proposals in support of discovery-based explorations, as well as use-inspired, solutions-focused research, including proposals that address priority areas associated with building a resilient planet and biotechnology and the bioeconomy. Someexamples of topics that address priority areas associated with building a resilient planet and biotechnology and the bioeconomy can be found in thelife on a warming planetandbioeconomymetaprogram descriptions. TheCHIPs Act of 2022and theExecutive Order on Advancing Biotechnology and Biomanufacturing Innovation for a Sustainable, Safe and Secure American Bioeconomyhighlight the importance of these two areas with respect to safeguarding national security and promoting prosperity. DEB also strongly encourages proposals that leverage NSF resources that facilitate integration across the biological sciences, such as the National Ecological Observatory Network (NEON), data networks, synthesis centers, and institutes.</t>
  </si>
  <si>
    <t>Developmental Sciences</t>
  </si>
  <si>
    <t>Others (see text field entitled "Additional Information on Eligibility" for clarification) *Who May Submit Proposals: Proposals may only be submitted by the following:
  -Foreign organizations: For cooperative projects involving U.S. and foreign organizations, support will only be provided for the U.S. portion.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-Other Federal Agencies and Federally Funded Research and Development Centers (FFRDCs): Contact the appropriate program before preparing a proposal for submission.
  -State and Local Governments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*Who May Serve as PI:
PIs and co-PIs must be researchers who have a Ph.D. or equivalent education and experience, sufficient to allow them to carry out independent basic research. PIs are encouraged to include undergraduate and graduate students in their research projects, but not as PI/co-PI or senior/key personnel.</t>
  </si>
  <si>
    <t>Developmental Sciences supports basic research that increases our understanding of perceptual, cognitive, linguistic, social, cultural, and biological processes related to human development across the lifespan. Research supported by this program will add to our knowledge of the underlying developmental processes that support social, cognitive, and behavioral functioning, thereby illuminating ways for individuals to live productive lives as members of society.
The Developmental Sciences program supports research that addresses developmental processes within the domains of perceptual, cognitive, social, emotional, language, and motor development across the lifespan by working with any appropriate populations for the topics of interest including infants, children, adolescents, adults (including aging populations), and non-human animals. The program also supports research investigating factors that affect developmental change, including family, peers, school, community, culture, media, physical, genetic, and epigenetic influences. The program funds research that incorporates multidisciplinary, multi-method, and/or longitudinal approaches; develops new methods, models, and theories for studying development; and integrates different processes (e.g., memory, emotion, perception, cognition), levels of analysis (e.g., behavioral, social, neural) and time scales. The program funds basic research that advances our understanding of developmental processes and mechanisms; the program does not fund clinical trials and research focused primarily on health outcomes.
The budgets and durations of supported projects vary widely and are greatly influenced by the nature of the project. Investigators should focus on innovative, potentially transformative research plans and then develop a budget to support those activities, rather than starting with a budget number and working up to that value.
While there are no specific rules about budget limitations, a typical project funded through the Developmental Sciences program is approximately three years in duration with a total cost budget, including both direct and indirect costs, between $100,000 and $200,000 per year. Interested proposers are urged to explore the NSF awards database for the Developmental Sciences program to review examples of awards that have been made. Proposals that contain budgets significantly beyond this range may be returned without review.
The Developmental Sciences program also considers proposals for workshops and small conferences on a case-by-case basis. These typically have total cost budgets, including direct and indirect costs, of approximately $35,000. Conference proposals may only be submitted following an invitation from the Program Directors.
In addition to consulting the NSF awards database, it is often useful for interested proposers to submit (via email) a summary of no more than one page so that a program director can advise the investigator on the fit of the project for DS before the preparation of a full proposal. New investigators are encouraged to solicit assistance in the preparation of their project proposals via consultation with senior researchers in their area, pre-submission review by colleagues, and attendance at symposia and events at professional conferences geared towards educating investigators seeking federal funding.
The Developmental Sciences Program is always interested in identifying new reviewers. Potential reviewers should have a Ph.D. in psychology or a related field and have a demonstrated area of expertise relevant to developmental science. Individuals interested in reviewing for the program should complete an expression of interest form.
SBE/BCS welcomes the submission of proposals to this funding opportunity that include the participation of the full spectrum of diverse talent in STEM,e.g., as PI, co-PI, senior/key personnel, postdoctoral scholars, graduate or undergraduate students, or trainees. This includes historically under-represented or underserved populations, diverse institutions including Minority Serving Institutions (MSIs), Primarily Undergraduate Institutions (PUIs), and two-year colleges, as well as major research institutions. Proposals from EPSCoR jurisdictions are especially encouraged.</t>
  </si>
  <si>
    <t>ROSES 2024: B.15 Heliophysics Innovation in Technology and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</si>
  <si>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</si>
  <si>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Established Program to Stimulate Competitive Research (EPSCoR):  Workshop Opportunities</t>
  </si>
  <si>
    <t xml:space="preserve">Others (see text field entitled "Additional Information on Eligibility" for clarification) *Who May Submit Proposals: Proposals may only be submitted by the following:
  -
Proposals may be submittedonly from institutions or organizations within EPSCoR-eligible jurisdictions.Eligibility to participate in the EPSCoR Workshop Opportunities program is described on a href= s website .
_x000D_
Within EPSCoR-eligible jurisdictions, proposals may be submitted only by the following:
_x000D_
 _x000D_
 Institutions of higher education (PhD-granting and non-PhD-granting), acting on behalf of their faculty members, that are accredited in and have a campus in the United States, its territories, or possessions. _x000D_
 Non-profit, non-degree-granting domestic U.S. organizations, acting on behalf of their employees, that include (but are not limited to) independent museums and science centers, observatories, research laboratories, professional societies, and similar organizations that are directly associated with the Nation's research or educational activities. These organizations must have an independent, permanent administrative organization (e.g., an office of sponsored research) located in the United States, its territories, or possessions, and have 501(c)(3) tax status. _x000D_
 Tribal Nations: An American Indian or Alaska Native tribe, band, nation, pueblo, village, or community that the Secretary of the Interior acknowledges as a federally recognized tribe pursuant to the Federally Recognized Indian Tribe List Act of 1994, 25 U.S.C.   5130-5131. _x000D_
 </t>
  </si>
  <si>
    <t>The Established Program to Stimulate Competitive Research (EPSCoR) is designed to fulfill the mandate of the National Science Foundation (NSF) to promote scientific progress nationwide. NSF EPSCoR facilitates the establishment of partnerships among academic institutions, government, industry, and non-profit sectors that are designed to promote sustainable improvements in an EPSCoR-eligible jurisdiction s research infrastructure, Research and Development (R D) capacity, and R D competitiveness. Eligibility to participate in NSF EPSCoR funding opportunities, including the EPSCoR Workshop Opportunities program, is described on the EPSCoR website (see criteria for eligibility link).
_x000D_
EPSCoR welcomes proposals for workshops only from institutions within EPSCoR-eligible jurisdictions (i.e. states, territories, commonwealths). These workshops must focus on innovative ways to address multi-jurisdictional efforts on themes of regional or national importance with relevance to the goals and mission of NSF and EPSCoR.</t>
  </si>
  <si>
    <t>Division of Molecular and Cellular Biosciences Core Programs</t>
  </si>
  <si>
    <t>MCB supports research that promises to uncover the fundamental properties of living systems across atomic, molecular, subcellular, and cellular scales. The program gives high priority to projects that advance mechanistic understanding of the structure, function, and evolution of molecular, subcellular, and cellular systems, especially research that aims at quantitative and predictive knowledge of complex behavior and emergent properties. MCB encourages research exploring new concepts in molecular and cellular biology, while incorporating insights and approaches from other scientific disciplines, such as chemistry, computer science, engineering, mathematics, and physics, to illuminate principles that govern life at the molecular and cellular level. MCB also encourages research that exploits experimental and theoretical approaches and utilizes a diverse spectrum of model and non-model animals, plants, and microbes across the tree of life. Proposals that pursue potentially transformative ideas are welcome, even if these entail higher risk.
_x000D_
This solicitation calls for proposals in research areas supported by the four MCB core clusters, including: (i) structure, dynamics, and function of biomolecules and supramolecular assemblies, especially under physiological conditions (Molecular Biophysics); (ii) organization, processing, expression, regulation, and evolution of genetic and epigenetic information (Genetic Mechanisms); (iii) cellular structure, properties, and function across broad spatiotemporal scales (Cellular Dynamics and Function); and (iv) systems and/or synthetic biology to study complex interactions through modeling or manipulation or design of living systems at the molecular-to-cellular scale (Systems and Synthetic Biology). All MCB clusters prioritize projects that integrate across scales, investigate molecular and cellular evolution, synergize experimental research with computational or mathematical modeling, and/or develop innovative, broadly applicable methods and technologies. Projects that bridge the intellectual edges between MCB clusters are welcome. Projects that integrate molecular and cellular biosciences with other subdisciplines of biology are also welcome through the new Integrative Research in Biology (IntBIO) track.
_x000D_
All programs in the Directorate for Biological Sciences striveto achieve key goals laid out in the NSF Strategic Plan. Among these goals are: (i) to empower Science Technology, Engineering, and Mathematics (STEM) talent to fully participate in science and engineering; (ii) to enable creation of new knowledge by advancing the frontiers of research and enhancing research capability; and (iii) to benefit society through translation of knowledge into solutions. In line with these goals, MCB welcomes the submission of proposals to this funding opportunity that include the participation of the full spectrum of diverse talent in STEM, e.g., as PI, co-PI, senior personnel, postdoctoral scholars, graduate or undergraduate students or trainees.  This includes historically under-represented or underserved populations, diverse institutions including Minority Serving Institutions (MSIs), Primarily Undergraduate Institutions (PUIs), and two-year colleges, as well as major research institutions. Proposals from EPSCoR jurisdictions are especially encouraged.MCB has a new track in this solicitation, EXPAND MCB in EPSCoR, that welcomes proposals that build capacity through collaborations led by organizations in EPSCoR jurisdictions.
_x000D_
Also aligned with the NSF Strategic Plan, MCB encourages submission of proposals in support of discovery-based explorations, as well as use-inspired, solutions-focused research, including proposals that address priority areas associated with building a resilient planet and biotechnology and the bioeconomy. Some examples of topics that address priority areas associated with building a resilient planet and biotechnology and the bioeconomy can be found in the life on a warming planet and bioeconomy metaprogram descriptions. The CHIPs Act of 2022 and the Executive Order on Advancing Biotechnology and Biomanufacturing Innovation for a Sustainable, Safe and Secure American Bioeconomy highlight the importance of these two areas with respect to safeguarding national security and promoting prosperity. MCB also strongly encourages proposals that leverage NSF resources to facilitate integration across the biological sciences, such as the National Ecological Observatory Network (NEON), data networks, synthesis centers, and institutes.
_x000D_
Regarding health-related challenges, NSF supports basic research in all areas of the biological sciences and recognizes that this foundational research is likely to impact many different areas, including human health. MCB celebrates all the biological science discoveries funded through MCB awards that have had major impacts on health, environment, energy, food production, and other applications. Nevertheless, research focused exclusively on understanding human diseases and their treatment is normally outside of the scope offunding and will be returned without review unless that research significantly advances other fields such as engineering, computer science, or the mathematical and physical sciences.</t>
  </si>
  <si>
    <t>ROSES 2024: C.24 Here to Observe</t>
  </si>
  <si>
    <t>ROSES 2024: F.14 High Priority Open-Source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</si>
  <si>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</si>
  <si>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C.8 Lunar Data Analysis Program</t>
  </si>
  <si>
    <t>ROSES 2024: C.6 Solar System Observations</t>
  </si>
  <si>
    <t>ROSES 2024: A.26 Rapid Response and Novel Research in Earth Science</t>
  </si>
  <si>
    <t>ROSES 2024: F.8 Supplements for Open-Source Science</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</si>
  <si>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</si>
  <si>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C.3 Solar System Workings</t>
  </si>
  <si>
    <t>ROSES 2024: C.12 Planetary Instrument Concepts for the Advancement of Solar System Observations</t>
  </si>
  <si>
    <t>ROSES 2024: D.15 LISA Preparatory Science</t>
  </si>
  <si>
    <t xml:space="preserve">PLEASE NOTE: this program has MANDATORY Notices of Intent, which are due via NSPIRES by January 17, 2025. See the full posting on NSPIRES for details. 
NOTICE: Amended September 12, 2024. This amendment announces several changes to this program element: A final science gaps list will be posted under other documents on the NSPIRES page for this program element no later than November 30th, 2024. Alignment with these science gaps will be considered in the LPS evaluation (see Sections 1.1 and 3); proposals will be evaluated using dual-anonymous peer review, see Section 2.8; and numerous other clarifications to the text. New text is in bold and deleted text is struck through. The due dates remain unchanged: Mandatory NOIs are due January 17, 2025, and proposals are due March 20, 2025.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</si>
  <si>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C.2 Emerging Worlds</t>
  </si>
  <si>
    <t>ROSES 2024: C.16 Laboratory Analysis of Returned Samples</t>
  </si>
  <si>
    <t>ROSES 2024: C.4 Planetary Data Archiving, Restoration, and Tools</t>
  </si>
  <si>
    <t>ROSES 2024: C.5 Exobiology</t>
  </si>
  <si>
    <t xml:space="preserve">This program element does not have a proposal due date. Proposals may be submitted at any time, pending certain eligibility timing issues related to resubmissions and duplicate proposal avoidance, see the program element text and appropriate overview appendix (e.g., B.1 or C.1). The date shown of 3/28/2025 is the last day that proposals may be submitted subject to the ROSES-24 rules and the current Guidebook for Proposers. The ROSES-25 version of this program element is planned to overlap with this ROSES-24 version by a few weeks, allowing continuous submission of proposals across ROSES years.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</si>
  <si>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F.4 Habitable Worlds</t>
  </si>
  <si>
    <t>ROSES 2024: D.13 Astrophysics Pioneers</t>
  </si>
  <si>
    <t xml:space="preserve">NOTICE: Amended November 26, 2024: ISS payloads are no longer supported due to ISS decommissioning, and (cis)-Lunar payloads are no longer included here (see F.11 PRISM SALSA) Also, outdated references to the guidebook have been updated to refer and link to the new Grant and Cooperative agreement manual throughout, additional options for launch are included, sub-orbital launches are excluded, and numerous other small changes have been made. New text is in bold and deleted text is struck through. The due dates remain unchanged: Mandatory NOIs are due January 24, 2025, and proposals are due March 13, 2025.  
PLEASE NOTE: this program has MANDATORY Notices of Intent, which are due via NSPIRES by January 24,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</si>
  <si>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D.8 Nancy Grace Roman Technology Fellowships in Space Astrophysics for Early Career Researchers</t>
  </si>
  <si>
    <t xml:space="preserve">NOTICE: Amended November 7, 2024. The page length for the fellowship application has been increased to two pages and the Evaluation Criteria for Fellowship have been expanded and clarified, see Section 2. New text is in bold and deleted text is struck through. 
PLEASE NOTE: this program has (MANDATORY - for APRA, no longer mandatory for SAT) Notices of Intent, which are due via NSPIRES by December 13, 2024. See the full posting on NSPIRES for details. 
This program does not separately solicit proposals. Proposals are first submitted to either APRA: NNH24ZDA001N-APRA or  
SAT: NNH24ZDA001N-SAT. Please read all solicitations carefully to understand requirements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</si>
  <si>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D.14 Nancy Grace Roman Space Telescope Research and Support Participation Opportunities</t>
  </si>
  <si>
    <t xml:space="preserve">NOTICE: Amended November 26, 2024. This amendment releases the final text for this program element that was previously released as draft for community comment. A Notice of Intent is ardently requested by Friday, January 17, 2025 via NSPIRES, and proposals are due on Thursday, March 6, 2025. 
ï»¿Proposers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</si>
  <si>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B.20 Heliophysics Tools and Methods</t>
  </si>
  <si>
    <t>ROSES 2024: D.3 Astrophysics Research and Analysis Program</t>
  </si>
  <si>
    <t xml:space="preserve">NOTICE: Amended December 23, 2024. The deadline for submission of Mandatory Notice of Intent has been extended to January 6, 2025. 
NOTICE: Amended November 7, 2024. This amendment makes several changes, summarized below. Other clarifications or corrections have also been made throughout. New text is in bold and deleted text is struck through. The upper size for CubeSats has increased from 12 to 16U; Proposals with PIs or Co-Is at Federal Agencies other than NASA should plan on the start date being delayed by 6 months (to ~April 1, 2026) based on experiences with the new G-invoicing system; NASA HQ APRA personnel and the POC for Marshall Space Flight Center X-ray Optics Facilities have been updated; Section 1.2.2.2 has been clarified to indicate that if a CubeSat proposer selects the Proposer-Provided Suborbital Launch Vehicle option, that the PI is responsible for costs of the integration and launch; Section 1.2.2.3 has been clarified to indicate that CubeSat proposers should expect to participate in regular (bi-monthly to monthly) progress update meetings with NASA program management. Finally, proposers are encouraged to use the NASA Grant Policy templates for Biographical Sketch (no page limit) and current and pending support that were released 10/1/24. For more information see the amended ROSES-24 Summary of Solicitation under Announcement Documents on the right side of this NSPIRES page. The proposal due date remains unchanged: proposals are due January 30, 2025. NASA is currently 
PLEASE NOTE: this program has MANDATORY Notices of Intent, which are due via NSPIRES by January 6, 2025.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</si>
  <si>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B.16 Heliophysics Artificial Intelligence/Machine Learning-Ready Data</t>
  </si>
  <si>
    <t xml:space="preserve">The close date above is the date for the Step-1 proposal submission. See the solicitation for the Step-2 due date. Step-2 proposals cannot be submitted if a Step-1 proposal was not submitted.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</si>
  <si>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ROSES 2024: D.7 Strategic Astrophysics Technology</t>
  </si>
  <si>
    <t xml:space="preserve">NOTICE: Amended November 7, 2024. This amendment makes several changes, summarized below. Other clarifications or corrections have also been made throughout. New text is in bold and deleted text is struck through. A Notice of Intent to propose is no longer mandatory, see Section 1.4; The anticipated budget has been reduced to $5M for the first year of new selections; Technology readiness level definitions have been clarified (Section 1.1); updates have been made to exclusions (Section 1.3); the frequency of reporting for PhysCOS/COR has increased (Section 2.2); and various small updates and have been made throughout. Proposers are encouraged to use the NASA Grant Policy templates for Biographical Sketch (no page limit) and current and pending support that were released 10/1/24. For more information see the amended ROSES-24 Summary of Solicitation under Announcement Documents on the right side of this NSPIRES page. The proposal due date remains unchanged: proposals are due January 30, 2025. NASA is currently not planning to solicit this program element in ROSES-2025. 
PLEASE NOTE: this program has Notices of Intent, which are due via NSPIRES by December 13, 2024. See the full posting on NSPIRES for details. 
Proposers must retrieve the instructions document (zip file) associated with the application package for this opportunity as there is at least one required form that must be attached to the submitted proposal package. 
The National Aeronautics and Space Administration (NASA) Science Mission Directorate (SMD) released its annual omnibus Research Announcement (NRA), Research Opportunities in Space and Earth Sciences (ROSES) â€“ 2024 (OMB Approval Number 2700-0092, CFDA Number 43.001) on February 14, 2024. In this case "omnibus" means that this NRA has many individual program elements, each with its own due dates and topics. All together these cover the wide range of basic and applied supporting research and technology in space and Earth sciences supported by SMD. Awards will be made as grants, cooperative agreements, contracts, and inter- or intra-agency transfers, depending on the nature of the work proposed, the proposing organization, and/or program requirements. However, most extramural research awards deriving from ROSES will be grants, and many program elements of ROSES specifically exclude contracts, because contracts would not be appropriate for the nature of the work solicited. The typical period of performance for an award is three years, but some programs may allow up to five years and others specify shorter periods. In most cases, organizations of every type, Government and private, for profit and not-for-profit, domestic and foreign (with some caveats), may submit proposals without restriction on teaming arrangements. Tables listing the program elements and due dates (Tables 3), a table that provides a very top level summary of proposal contents (Table 1), and the full text of the ROSES-2024 "Summary of Solicitation", may all be found NSPIRES at http://solicitation.nasaprs.com/ROSES2024. 
This synopsis is associated with one of the individual program elements within ROSES, but this is a generic summary that is posted for all ROSES elements. For specific information on this particular program element download and read the PDF of the text of this program element by going to Tables of this NRA at http://solicitation.nasaprs.com/ROSES2024table3, respectively, click the title of the program element of interest, a hypertext link will take you to a page for that particular program element. On that page, on the right side under "Announcement Documents" the link on the bottom will be to the PDF of the text of the call for proposals. For example, if one were interested in The Lunar Data Analysis Program (NNH24ZDA001N-LDAP) one would follow the link to the NSPIRES page for that program element and then to read the text of the call one would click on â€œC.8 Lunar Data Analysis Program (.pdf)â€ to download the text of the call. If one wanted to set it into the context of the goals, objectives and know the default rules for all elements within Appendix C, the planetary science division, one might download and read â€œC.1 Planetary Science Research Program Overview (.pdf)â€ from that same page. While the letters and numbers are different for each element within ROSES (A.12, B.7, etc.) the basic configuration is always the same, e.g., the letter indicates the Science Division (A is Earth Science, B is Heliophysics etc.) and whatever the letter, #1 is always the division overview.  
Frequently asked questions for ROSES are posted at http://science.nasa.gov/researchers/sara/faqs. Questions concerning general ROSES-2024 policies and procedures may be directed to Max Bernstein, Lead for Research, Science Mission Directorate, at sara@nasa.gov, but technical questions concerning specific program elements should be directed to the point(s) of contact for that particular element, who may be found either at the end of the individual program element in the summary table of key information or on the web list of topics and points of contact at: http://science.nasa.gov/researchers/sara/program-officers-list. 
Not all program elements are known at the time of the release of ROSES. To be informed of new program elements or amendments to this NRA, proposers may subscribe to: (1) The SMD mailing lists (by logging in at http://nspires.nasaprs.com and checking the appropriate boxes under "Account Management" and "Email Subscriptions"), (2) The ROSES-2024 blog feed for amendments, clarifications, and corrections to at https://science.nasa.gov/researchers/solicitations/roses-2024/, and (3) The ROSES-2024 due date Google calendars (one for each science division). Instructions are at (link from the words due date calendar). </t>
  </si>
  <si>
    <t>Long Range Broad Agency Announcement (BAA) for NSWC Crane</t>
  </si>
  <si>
    <t>DOD-ONR-SEA-CRANE</t>
  </si>
  <si>
    <t>NSWC - CRANE</t>
  </si>
  <si>
    <t>This announcement seeks revolutionary research ideas, and technology demonstrators that offer potential for advancement and improvement of NSWC Craneâ€™s primary mission areas.NSWC Crane is a field activity of the Naval Sea Systems Command. NSWC Crane supports a wide range of government agencies in the interest of national security. NSWC Crane may publish BAAs and other solicitations in response to specific needs. This BAA is issued to seek innovative solutions and ideas for topics not covered via other means. It is strongly encouraged that potential proposers review existing NSWC Crane solicitations to avoid duplication of effort and to contact the identified points of contact for each BAA topic to discuss specific details of the needs.The mission of NSWC Crane is to provide research, development, test and evaluation, acquisition engineering, in-service engineering and technical support in its assigned technical capabilities for the United States Navy, Department of Defense components and agencies, and other federal agencies and components engaged in national security. NSWC Crane also works to apply component and system-level product and industrial engineering to surface sensors, strategic systems, special warfare devices and electronic warfare systems, as well as to execute other responsibilities as assigned by the Commander, Naval Surface Warfare Center.The focus of NSWC Crane is â€œHarnessing the Power of Technology for the Warfighter.â€ Crane specializes in total lifecycle support in three broad focus areas: Expeditionary Warfare, Strategic Missions, and Electronic Warfare, which support ten assigned technical capabilities (TCs) listed below.1. Electronic Warfare (EW)2. Infrared and Pyrotechnic Countermeasures3. Strategic Systems Hardware4. Expeditionary Warfare and Systems5. Advanced Electronics6. Sensors and Surveillance Systems7. Hypersonic Weapon Systems8. Power and Energy Systems9. Electro-optic and Infrared Technologies10.Force level EW Mission Analysis, Advanced Concepts and TechnologiesWithin each of the TCs, there are multiple thrust areas, which present considerable opportunities for innovative research and solutions to support national security imperatives. There is intentional overlapping space within the listed TC such that a potential technology or research idea may support multiple TCs. Any proposal should list the principal TC as well as any adjunct TCs that should be considered. Proposals that support multiple TCs are strongly desired but not necessary.</t>
  </si>
  <si>
    <t>Computer and Information Science and Engineering Research Expansion Program</t>
  </si>
  <si>
    <t xml:space="preserve">Others (see text field entitled "Additional Information on Eligibility" for clarification) *Who May Submit Proposals: Proposals may only be submitted by the following:
  -
CISE MSI promotes capacity building and institutional infrastructure development for CISE programs at MSIs, as well as partnerships between MSIs and non-MSIs across the nation. These activities are intended to be a driving force for strengthening and diversifying U.S. research and education pathways and providing historically marginalized communities new opportunities in STEM careers. Proposals may be submitted only by accredited Institutions of Higher Education (IHEs) that span class= are recognized as Minority Serving Institutions ( a class=  href= span class= span class=  ). 
_x000D_
 span class= Institutions that have received NSF awards totaling more than $2 million dollars, within the past five years from the CISE programs listed in Section II combined, are not eligible to serve as lead institutions, but may participate as non-lead collaborators. (See Section II Program Description) 
_x000D_
*Who May Serve as PI:
A MSI faculty member should serve as the lead principal investigator(s) on any proposal submission.  br / </t>
  </si>
  <si>
    <t>With this solicitation, the National Science Foundation's (NSF) Directorate for Computer and Information Science and Engineering (CISE) is continuing its support of research expansion for Minority-Serving Institutions (MSIs). The goal of the CISE MSI program is to broaden participation by increasing the number of CISE-funded research projects from MSIs and to develop research capacity toward successful submissions to core CISE programs. MSIs are central to inclusive excellence: they foster innovation, cultivate current and future undergraduate and graduate computer and information science and engineering talent, and bolster long-term U.S. competitiveness.</t>
  </si>
  <si>
    <t>Civic Innovation Challenge</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</si>
  <si>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There are no restrictions or limits.</t>
  </si>
  <si>
    <t>The Civic Innovation Challenge (CIVIC) is a research and action competition that accelerates the transition to practice of foundational research and emerging technologies into communities through civic-engaged research. By addressing priorities at the local scale that are relevant across the US, CIVIC is laying the foundation for a broader and more fluid exchange of research and technology capabilities and civic priorities through joint partnerships involving civic partners and the research community. CIVIC funds projects that pilot state-of-the-art solutions to community challenges over 12 months, following a six-month planning phase, and have the potential for lasting impact in the partnering community as well as the potential to be scaled and implemented in other communities. Additionally, the foundation for CIVIC projects should be rooted in maturing and transitioning state-of-the-art research in disciplines, including but not limited to computer science, engineering, geosciences, biological sciences, and social sciences.
CIVIC is uniquely designed to enable transition to practice of innovations into communities, as follows: (1) CIVIC flips the community-university dynamic, by empowering communities and researchers to jointly identify civic priorities ripe for innovation and to address these priorities as equal partners; (2) CIVIC focuses on research-centered solutions that are ready for piloting in and with communities on a short timescale, where real-world outcomes can be evaluatedwithin 12 months; (3) CIVIC requires a coalition of communities and civic partners and a multi-disciplinary set of researchers to co-create and execute pilot projects; and (4) CIVIC organizes and fosters nationwide  communities of practice  around high-need problem areas that allow for meaningful knowledge sharing and cross-site collaboration during both the pre-development and piloting stages.
For this solicitation, civic partnership and engagement activities, communities, and academic and civic partners must be based in the United States or its protectorates. For purposes of clarity, civic partners may include local, state, or tribal government officials; non-profit representatives; community organizers or advocates; community service providers; and/or others working to improve their communities.
CIVIC is organized as a two-stage competition withtwo tracks centered around the following topic areas:
Track A. Climate and Environmental Instability - Building Resilient Communities through Co-Design, Adaption, and Mitigation
Track B. Bridging the gap between essential resources and services   community needs.
In Stage 1,approximately 35-40 Planning Grant awards will be made   each with a budget of up to $75,000 for six months to undertake planning and team development activities. These include solidifying the team, maturing the project plans, and preparing a well-developed full proposal for submission to Stage 2.Only Stage 1 CIVIC recipients can submit to the CIVIC Stage 2 competition.
In Stage 2,approximately20 Full Awards will be made. These will be selected from Stage 1 award recipients. For Stage 2, proposals will be considered with budgets up to $1,000,000 for up to 12 months. Proposals must describe how the PIs will execute and evaluate their research-centered pilot projects.
Throughout both stages, NSF award recipient (2223449) MetroLab Network (metrolabnetwork.org, nsfcivicinnovation.org) will foster  communities of practice  through in-person and virtual activities, aimed at enhancing the teams  capacity-building, networking, impact, and ability to create methods and solutions transferable to other communities.
The CIVIC research and action competition is jointly supported by NSF s Directorate for Computer and Information Science and Engineering (CISE); Directorate for Engineering (ENG);Directorate for Geosciences (GEO); Directorate for Social, Behavioral, and Economic Sciences (SBE); Directorate for Biological Sciences (BIO); and the Department of Energy (DOE), and the Department of Homeland Security (DHS).</t>
  </si>
  <si>
    <t>Innovations in Graduate Education (IGE) Program</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</si>
  <si>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Tribal Nations: An American Indian or Alaska Native tribe, band, nation, pueblo, village, or community that the Secretary of the Interior acknowledges as a federally recognized tribe pursuant to the Federally Recognized Indian Tribe List Act of 1994, 25 U.S.C.   5130-5131.</t>
  </si>
  <si>
    <t>The Innovations in Graduate Education (IGE) Program is designed to encourage development and implementation of bold, new, and potentially transformative approaches to STEM graduate education training. The program seeks proposals that a) explore ways forgraduate students in STEM master s and doctoral degree programs to develop the skills, knowledge, and competencies needed to pursue a range of STEM careers, or b) support research on the graduate education system and outcomes of systemic interventions and policies.
_x000D_
IGE projects are intendedto generate the knowledge required for the customization, implementation, and broader adoption of potentially transformative approaches to graduate education. The program supports piloting, testing, and validating novel models or activities and examining systemic innovations with high potential to enrich and extend the knowledge base on effective graduate education approaches.
_x000D_
The program addresses both workforce development, emphasizing broad participation, and institutional capacity-building needs in graduate education. Strategic collaborations with the private sector, non-governmental organizations (NGOs), government agencies, national laboratories, field stations, teaching and learning centers, informal science organizations, and academic partners are encouraged.</t>
  </si>
  <si>
    <t>EPSCoR Research Infrastructure Improvement (RII): EPSCoR Research Fellows</t>
  </si>
  <si>
    <t>Others (see text field entitled "Additional Information on Eligibility" for clarification) *Who May Submit Proposals: Proposals may only be submitted by the following:
  -
EPSCoR jurisdictions that are RII-eligible for the FY2024 competition are listed in the RII Eligibility table, which can be found a href= .
_x000D_
Proposals may only be submitted by organizations located in RII-eligible jurisdictions, as follows:
_x000D_
 _x000D_
 Institutions of higher education (Ph.D.-granting and non-Ph.D.-granting), acting on behalf of their faculty members, that are accredited in and have a campus in the United States, its territories or possessions. Distinct academic campuses (e.g., that award their own degrees, have independent administrative structures, admissions policies, alumni associations, etc.) within multi-campus systems qualify as separate submission-eligible institutions. _x000D_
 Not-for-profit, non-degree-granting domestic U.S. organizations, acting on behalf of their employees, that include (but are not limited to) independent museums and science centers, observatories, research laboratories, professional societies, and similar organizations that are directly associated with the Nation's research or educational activities. These organizations must have an independent, permanent administrative organization (e.g., an Office of Sponsored Projects) located in the United States, its territories, or possessions, and have 501(c)(3) tax status. _x000D_
 _x000D_
In addition, for the EPSCoR Research Fellows: @NASA opportunity, PIs must be employed by an institution that is from at least one of the four categories:
_x000D_
 _x000D_
 Minority-serving institutions as a title=  href= by the U.S. Department of Education; _x000D_
 Primarily Undergraduate Institutions (PUIs), including two-year colleges, that award associate's degrees, bachelor's degrees, and/or master's degrees in NSF-supported fields, but have awarded 20 or fewer Ph.D./D.Sci. degrees in all NSF-supported fields during the combined previous two academic years; _x000D_
 Institutions of higher education that are dedicated to serve students with disabilities, as listed in Table 1, page 5, of NSF s 2008 Broadening Participation report ( a title=  href= _x000D_
 Degree-granting women s colleges, as listed in the U.S. Department of Education Digest of Education Statistics ( a title=  href= _x000D_
*Who May Serve as PI:
Principal Investigatorsmust either:
_x000D_
 ul type= _x000D_
 Be in an early-career, or mid-career-track position at an eligible non-degree-granting organization or _x000D_
 Hold a non-tenured or tenured faculty position at the Lecturer, Research Faculty, Assistant or Associate Professor rank (or in an equivalent position)at an institution of higher education. _x000D_
 _x000D_
Additional guidance on eligibility for both tracks:
_x000D_
 ul type= _x000D_
 For the faculty category of the PI, the faculty ranking should be determined by the faculty rank at the proposal's deadline date. _x000D_
 The PI must be positioned to build sustainable research capacity at the home institution during and beyond the fellowship, which generally takes three years or more. _x000D_
 Non-tenured research assistant professors or lecturers are eligible to apply for this opportunity if they have a long-term appointment. _x000D_
 A letter from an administrative manager at the home institution is required to verify PI eligibility. /l</t>
  </si>
  <si>
    <t>The Established Program to Stimulate Competitive Research is designed to fulfill the mandate of the National Science Foundation (NSF) to promote scientific progress nationwide. NSF EPSCoR facilitates the establishment of partnerships among academic institutions, government, industry, and non-profit sectors that are designed to promote sustainable improvements in a jurisdiction's research infrastructure, Research and Development (R D) capacity, and R D competitiveness of EPSCoR-eligible jurisdictions (i.e., states, territories, and commonwealths). Eligibility to participate in the EPSCoR funding opportunities, including the EPSCoR RII: EPSCoR Research Fellows program, is described on theNSF EPSCoR website.
_x000D_
EPSCoR RII: EPSCoR Research Fellows directly aligns with the NSF EPSCoR strategic goal of establishing sustainable Science, Technology, Engineering, and Mathematics (STEM) professional development pathways that advance workforce development and effects engagement in STEM at national and global levels. EPSCoR RII: EPSCoR Research Fellows provides awards to build researchcapacityin institutions and transform the career trajectories of investigators and further develop their individual research potential through collaborations with investigators from the nation s premier private, governmental, or academic research institutions and/or centers. The fellowship provides opportunities to establish strong collaborations through extended or periodic collaborative visits to a selected host site.Through collaborative research activities with the host site, Fellows will be able to learn new techniques, develop new collaborations, advance existing partnerships, benefit from access to unique equipment and facilities, and/or shift their research toward potentially transformative new directions. The experiences gained through the fellowships are intended to have lasting impacts that will enhance the Fellows  research trajectories well beyond the award period. The benefits to the Fellows are also expected to improve the research capacity of their institutions and jurisdictions more broadly.
_x000D_
EPSCoR Research Infrastructure Improvement (RII): EPSCoR Research Fellows offers the following two tracks:
_x000D_
1)EPSCoR Research Fellows: NSF; and
_x000D_
2) EPSCoR Research Fellows: @NASA 
_x000D_
While the two tracks have similar goals, EPSCoR Research Fellows: NSF is open to a broad community and EPSCoR Research Fellows: @NASA focuses on faculty from institutions with high enrollments ofstudentsfrom underrepresented populations in STEM (See Section"IV. Eligibility Information" for more details) to collaborate with researchers at the National Aeronautics and Space Administration (NASA) research centers. PIs who are eligible for both tracks may apply for only one track per competition cycle.
_x000D_
Proposals from both tracks are submitted to and merit reviewed by NSF. Awards in the EPSCoR Research Fellows: @NASA track are referred to NASA EPSCoR for distribution of additional NASA funds and other needed NASA coordination required for the award.
_x000D_
In both tracks, the EPSCoR RII: EPSCoR Research Fellows program provides opportunities for the participation of one trainee, who must be an undergraduate or graduate student enrolled full-time in an accredited degree program, or a postdoctoral researcher from an EPSCoR jurisdiction. Staff members, such as technicians or lab assistants could be considered as trainees when properly justified.</t>
  </si>
  <si>
    <t>GROWING CONVERGENCE RESEARCH</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</si>
  <si>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 PIs must holdfull-time appointments in research orteaching positions at US-based campuses/offices of eligible organizations.</t>
  </si>
  <si>
    <t>Convergence research is a means for solving vexing research problems, in particular, complex problems focusing on societal needs or deep scientific challenges. It entails integrating knowledge, methods, and expertise from different disciplines and developing novel paradigms that catalyze scientific discovery and innovation.
_x000D_
GCR identifiesConvergence Researchas having two primary characteristics:
_x000D_
_x000D_
Research driven by a specific and compelling problem.Convergence research is generally inspired by the need to address a specific challenge or opportunity, whether it arises from deep scientific questions or pressing societal needs._x000D_
Deep integration across disciplines.As experts from different disciplines pursue common research challenges, their knowledge, theories, methods, data, research communities andlanguages become increasingly intermingled or integrated. New frameworks, paradigms or even disciplines can form sustained interactions across multiple communities._x000D_
_x000D_
A distinct characteristic of convergence research, in contrast to other forms of multidisciplinary research, is that from the inception, the convergence paradigmintentionallybrings together intellectually diverse researchers and stakeholders to frame the research questions, adopt common frameworks for addressing them, and create and implement innovative scientific approaches for their solution. This includes, when appropriate, developing new integrated theories, methods, research tools, and ways of communicating across disciplines and sectors.Research teams practicing convergence aim to develop sustainable collaborations that may not only create solutions to the specific problem studied, but also develop novel ways of investigating related research questions and open new research vistas.
_x000D_
This GCR solicitation targets multidisciplinary teams who are embracing convergence research as a means of developing highly innovative solutions to complex research problems. GCR proposals are expected to be bold and address scientific or technical challenges and bottlenecks which if resolved have the potential to transform scientific understanding and solve vexing problems. Successful GCR projects are anticipated to lead to paradigm shifting approaches within disciplines, establishment of new scientific communities, or development of transformative technologies that have the potential for broad scientific or societal impact.
_x000D_
The aim of GCR is to cultivate and grow the earliest foundations of convergent approaches for addressing a specific and compelling problem. As such, proposals submitted to this solicitation are expected to explore novel avenues not previously investigated that are at the forefront of advancing science through deep integration. Proposers must make a convincing case that the research to be conducted is within NSF s purview, integrates across NSF directorate or division boundaries, and is currently not supported by other NSF programs or solicitations.
_x000D_
The proposers must outline a five-year research plan delineated in two phases, Phase I: years 1-2, and Phase II: years 3-5.The total budget for Phase I may not exceed $1,200,000, and the total for Phase II may not exceed $2,400,000. Successful proposals will be funded initially for two years. Each team s progress will be evaluated at a reverse site visit near the end of year 2; this will involve preparing a progress report and making a team presentation to a panel of reviewers/site visitors. Only teams that show exceptional progress according to the merit review and solicitation specific criteria during the first two years and that articulate plans for furthering advancements at the forefront of convergence research will be eligible for additional funding for up to three years pending availability of funds.</t>
  </si>
  <si>
    <t>Algorithms for Threat Detection</t>
  </si>
  <si>
    <t>The Algorithms for Threat Detection (ATD) program will support research projects to develop the next generation of mathematical and statistical algorithms for analysis of large spatiotemporal datasets with application to quantitative models of human dynamics. The program is a partnership between the Division of Mathematical Sciences (DMS) at the National Science Foundation (NSF) and theNational Geospatial Intelligence Agency (NGA).</t>
  </si>
  <si>
    <t>Partnerships in Astronomy   Astrophysics Research and Education</t>
  </si>
  <si>
    <t xml:space="preserve">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span class= Tribal Nations: An American Indian or Alaska Native tribe, band, nation, pueblo, village, or community that the Secretary of the Interior acknowledges as a federally recognized tribe pursuant to the Federally Recognized Indian Tribe List Act of 1994, 25 U.S.C.   5130-5131. </t>
  </si>
  <si>
    <t>The objective of PAARE is to improve the quality and environment of astronomy and astrophysics research and education by stimulating the development of formal, long-term partnerships that provide authentic pathways into the research enterprise and broaden participation in astronomy by encouraging proposals from the full spectrum of talent across society to include individuals from groups that have been historically underrepresented. Partnerships must substantially involve institutions seeking to create opportunities for student and faculty research that will increase the recruitment, retention, and success of these individuals. It is expected that the partnerships will build or strengthen research capacity, as well as foster a diverse, inclusive, and equitable environment for astronomy and astrophysics research and education at the partnering institutions.</t>
  </si>
  <si>
    <t>Long-Term Ecological Research</t>
  </si>
  <si>
    <t>Others (see text field entitled "Additional Information on Eligibility" for clarification) *Who May Submit Proposals: Proposals may only be submitted by the following:
  -
The LTER program is currently accepting only renewal proposals. Only the organization or institution that holds the current award is eligible to apply for a renewal. Collaborative proposals must be submitted using the  single proposal  method as described in PAPPG. Separately submitted collaborative proposals will be returned without review.
*Who May Serve as PI:
The lead PI on a renewal proposal must be the lead PI on the current award or one of the co-PIs listed on the current award.</t>
  </si>
  <si>
    <t xml:space="preserve">_x000D_
To address ecological questions that cannot be resolved with short-term observations or experiments, NSF established the Long-Term Ecological Research Program (LTER) in 1980. Two components differentiate LTER research from projects supported by other NSF programs: 1) the research is located at specific sites chosen to represent major ecosystem types or natural biomes, and 2) it emphasizes the study of ecological phenomena over long periods of time based on data collected in five core areas. Ongoing research at LTER sites is expected to contribute to the development and testing of fundamental ecological theories and significantly advance understanding of the long-term dynamics of populations, communities, and ecosystems. It often integrates multiple disciplines and, through cross-site interactions, may examine patterns or processes over broad spatial scales. Recognizing that the value of long-term data extends beyond use at any individual site, NSF requires that data collected by all LTER sites be made publicly accessible in compliance with NSF data requirements.
_x000D_
_x000D_
_x000D_
NSF currently supports 27 LTER sites and a network office. The program is on-going and proposals for new LTER sites are periodically invited when a need is identified to balance the LTER portfolio or when funding opportunities arise to support new LTERs. These opportunities are announced through separate solicitations. This solicitation governs submission of renewal proposals for active LTER site awards, not new sites.
_x000D_
</t>
  </si>
  <si>
    <t>Partnerships for Research Innovation in the Mathematical Sciences</t>
  </si>
  <si>
    <t>Others (see text field entitled "Additional Information on Eligibility" for clarification) *Who May Submit Proposals: Proposals may only be submitted by the following:
  -
PRIMES proposals may only be submitted by minority-serving Institutions (MSI) of Higher Education (IHE) in the United States that award degrees in the Mathematical Sciences that are not currently classified as a Doctoral University with  Very High Research Activity  (R1 institutions) according to the latest Carnegie Classification update (e.g., see a href= for the 2021 Carnegie Classification update). span class= For the purposes of this solicitation, minority-serving institutions are as defined by the Department of Education ( a class=  href= span class= span class=  ). Eligibility as a minority-serving institution is available in this link and may also be determined by reference to the Integrated Postsecondary Education Data System (IPEDS) of the US Department of Education National Center for Education Statistics ( a class=  href= span class= span class= 
Note that 2-year and 4-year Associate degree-granting IHEs are not eligible to submit a proposal under this solicitation, except where an established degree-granting partnership exists with an eligible institution. However, a 2-year and 4-year Associate degree-granting IHE may partner with a leading Minority-Serving Institution (MSI).
Eligible Partners
Eligible partners include DMS-supported Mathematical Sciences Research Institutes (https://mathinstitutes.org/) as listed below:
 American Institute of Mathematics (AIM) 
 Institute for Advanced Studies (IAS) 
 Institute for Computational and Experimental Research in Mathematics (ICERM) 
 Institute for Mathematical and Statistical Innovation (IMSI) 
 Institute for Pure and Applied Mathematics (IPAM) 
 Simons Laufer Mathematical Sciences Institute (SLMath) (previously MSRI) 
*Who May Serve as PI:
The Principal Investigator must hold a faculty appointment at the MSI submitting the PRIMES proposal. Funding of any partnering DMS-supported Mathematical Sciences Research Institutes, if applicable, must be requested via subawards.</t>
  </si>
  <si>
    <t>The NSF Division of Mathematical Sciences  Partnerships for Research Innovation in the Mathematical Sciences program aims to enhance partnerships between minority-serving institutions and DMS-supported Mathematical Sciences Research Institutes. The activity seeks to boost the participation of members of groups underrepresented in the mathematical sciences through their increased involvement in research programs at the institutes.</t>
  </si>
  <si>
    <t>Mind, Machine and Motor Nexus</t>
  </si>
  <si>
    <t>The Mind, Machine and Motor Nexus (M3X) Program supports fundamental research that explores embodied reasoning as mediated by bidirectional sensorimotor interaction between human and synthetic actors. For the purposes of this program, embodiment is defined as the capacity to interact with physics-based environments. 
_x000D_
Interaction between human and synthetic actors is expanding in scale and scope across numerous fields and endeavors. Among these are areas where safety and performance are paramount, but also where ingenuity and risk-taking are essential to success. The M3X Program seeks to spur innovative and path-breaking work that can improve understanding of interaction between human and synthetic actors in a broad range of settings, while also exploring implications for the advancement of fundamental theory, foundational technologies, and meaningful applications. Successful submissions to the M3X program will therefore advance knowledge by exploring the convergence of human and synthetic actors  capabilities and actions during the performance of tasks situated within physics-based environments.
_x000D_
The following key concepts define the M3X program and therefore must be captured in any competitive proposal submitted to the program:
_x000D_
_x000D_
Human and Synthetic Actors, which refer respectively to human beings and to embodied constructs with the additional capacity for engaging in sensorimotor interactions (defined below) as enabled by a potentially wide range of capabilities such as sensing, reasoning, communicating, interacting, and learning. Competitive proposals to the M3X program must consider the interaction between at least one human actor and at least one synthetic actor._x000D_
Sensorimotor interaction, which refers to the exchange of information between at least one human actor and at least one synthetic actor through any sensorimotor channel (e.g., haptic, visual, etc.) available to human or synthetic actors in real, virtual or hybrid environments. This interaction must be bidirectional between human and synthetic actors._x000D_
Embodied reasoning, which refers to the capability of human and synthetic actors to engage in cognitive activities that produce knowledge or expectations about each other (e.g., via intent detection, trust-building, social engagement, etc.). Such capability must be enabled or evolved through sensorimotor interaction, in a physics-based environment. Other aspects of embodied reasoning such as understanding of task requirements or of the environment within which co-activities are embedded may also be present._x000D_
Physics-based environment, which refers to a real and/or simulated environment where laws of physics are defined and applied to objects and to interactions within that environment._x000D_
_x000D_
The M3X program encourages research on sensorimotor interaction and embodied reasoning between human and synthetic actors in real, virtual, or hybrid settings, over a range of spatial and temporal scales, and for different modes of interaction. The M3X program supports research derived from conceptual, mathematical, empirical, experimental, computational, and cross-cutting perspectives, among others. Multi-disciplinary perspectives are encouraged but must be integrated to promote a holistic treatment of the research.
_x000D_
Topics of interest to the M3X program include   but are by no means limited to   collaboration, cooperation, and competition among human and synthetic actors; the role of virtual, mixed and hybrid environments in decision making and learning; new approaches to modeling, guiding and controlling processes of reasoning and interaction; as well as the development of research infrastructure (including open source instrumentation, models, data and environments) that will accelerate research in this area.
_x000D_
Proposals that do not engage each of the three concepts listed above (i.e., human and synthetic actors linked through sensorimotor interaction and with capabilities for embodied reasoning) may be returned without review. Research involving only a single human actor or a single synthetic actor is not appropriate for the M3X program and should be directed towards other NSF programs. Similarly, research that does not include interaction with a physics-based environment, such as interaction between actors based exclusively on language or exchange of characters on a screen, is also not appropriate for the M3X program.</t>
  </si>
  <si>
    <t>Formal Methods in the Field</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</si>
  <si>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
 Institutions of Higher Education (IHEs) - Two- and four-year IHEs (including community colleges) accredited in, and having a campus located in the US, acting on behalf of their faculty members. 
*Who May Serve as PI:
By the submission deadline, any PI, co-PI, or other senior/key project personnel must hold either:
 a tenured or tenure-track position, or 
 a primary, full-time, paid appointment in a research or teaching position 
at a US-based campus of an organization eligible to submit to this solicitation (see above), with exceptions granted for family or medical leave, as determined by the submitting organization. Individuals with primary appointments at for-profit non-academic organizations or at overseas branch campuses of U.S. institutions of higher education are not eligible.
A project submitted to Track I must have at least one (co)-PI focusing on formal methods and at least one focusing on another area within computer and information science and engineering.</t>
  </si>
  <si>
    <t xml:space="preserve">
The Formal Methods in the Field (FMitF) program aims to bring together researchers in formal methods with researchers in other areas of computer and information science and engineering to jointly develop rigorous and reproducible methodologies for designing and implementing correct-by-construction systems and applications with provable guarantees. FMitF encourages close collaboration between two groups of researchers. The first group consists of researchers in the area of formal methods, which, for the purposes of this solicitation, is broadly defined as principled approaches based on logic and mathematics to specification, modeling, design, analysis, implementation, abstraction, verification, synthesis, and optimization of systems, networks andapplications. Thesecond group consists of researchers in the   which, for the purposes of this solicitation, is defined as any area within computer and information science and engineering that would benefit from developing and applying formal methods in their research. All proposals must make a strong case for why formal methods is appropriate for the field area.
The FMitF program solicits three classes of proposals:
Track I: Research proposals: Each proposal must have at least one Principal Investigator (PI) or co-PI with expertise in formal methods and at least one with expertise in the field area. Proposals are expected to address fundamental contributions to both formal methods and the respective field(s) and should include a proof of concept in the field along with a detailed evaluation plan that discusses intended scope of applicability, trade-offs, and limitations. Track I proposals must contain a detailed collaboration plan that clearly highlights and justifies the complementary expertise of the PIs/co-PIs in the designated areas and describes the mechanisms for continuous bi-directional interaction. Projects are limited to $1,000,000 in total budget, with durations of up to four years.
Track II: Transition to Practice (TTP) proposals: The objective of this track is to support the ongoing development of extensible and robust formalmethods research prototypes/tools to facilitate usability and accessibility to a larger and more diverse community of users. These proposals are expected to support the development, implementation, and deployment of later-stage successful formal methods research and tools into operational environments in order to bridge the gap between research and practice. A TTP proposal must include a project plan that addresses major tasks and system development milestones as well as an evaluation plan for the working system. Proposals are expected to identify a target user community or organization that will serve as an early adopter of the technology. Collaborations with industry are strongly encouraged.Projects are limited to $150,000 in total budget, with durations of up to two years.
Track III: Educationproposals: Theobjective of this track is to support the development and dissemination of education material to increase the accessibility of formal methods. These proposals are expected to develop new course material in formal methods either as a standalone course or as part of a course in a field area to which formal methods is applicable. An education proposal must include a project plan that addresses disseminationefforts andarticulates the new communities that will be impacted through the effort. Collaborations with organizations that do not have strong formal methods education in the curriculum are strongly encouraged. Projects are limited to $250,000 in total budget, with durations of up to 36 months.
The Project Description can be up to 15 pages for Track I proposals, and up to 7 pages for the Track II and Track III proposals.
</t>
  </si>
  <si>
    <t>Fiscal Year 2023 Flood Mitigation Assistance Swift Current (FMA Swift Current)</t>
  </si>
  <si>
    <t>Others (see text field entitled "Additional Information on Eligibility" for clarification) States, District of Columbia, U.S. Territories, Federally recognized Tribal governments.</t>
  </si>
  <si>
    <t>Fiscal Year 2023 Flood Mitigation Assistance (FMA) Swift Current aims to better align the delivery of FMA flood mitigation funding to the disaster survivor experience. The purpose of FMA Swift Current is to reduce or eliminate the flood risk to NFIP-participating communities and repetitive flood damage to structures and buildings insured by the NFIP following a flood-related disaster event, and to enhance community flood resilience within NFIP-participating communities. It does so by providing funding for mitigation opportunities immediately after a flood disaster event with the aim of delivering mitigation outcomes as quickly as possible. Swift Current is a grant opportunity under the FMA grant program. The FMA grant program makes federal funds available to states, U.S. territories, federally recognized Tribal governments, and local governments to reduce or eliminate the risk of repetitive flood damage to buildings and structures insured under the National Flood Insurance Program (NFIP), and within NFIP-participating communities. It does so with a recognition of the growing flood hazards associated with climate change, and of the need for flood hazard risk mitigation activities that promote climate adaptation, equity, and resilience with respect to flooding. These include both acute extreme weather events and chronic stressors which have been observed and are expected to increase in intensity and frequency in the future.Projects or initiatives that are eligible for funding under this announcement may or may not involve Geospatial (GIS) issues.Amendment #1 edits the Fiscal Year 2023 Flood Mitigation Assistance Swift Current Notice of Funding Opportunity to reflect change language and additional language based on feedback and questions from FEMA Regions and eligible applicants activated for Swift Current. .</t>
  </si>
  <si>
    <t>Incorporating Human Behavior in Epidemiological Models</t>
  </si>
  <si>
    <t xml:space="preserve">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There are no restrictions or limits. </t>
  </si>
  <si>
    <t>The Incorporating Human Behavior in Epidemiological Models (IHBEM) Program supports research that incorporates research on social and behavioral processes in mathematical epidemiological models.The program provides support for projects that involve balanced participation from the mathematical sciences and from the social, behavioral, and economic sciences.</t>
  </si>
  <si>
    <t>Ukraine Cultural Heritage Response Initiative - Resilience Building Component</t>
  </si>
  <si>
    <t>Others (see text field entitled "Additional Information on Eligibility" for clarification) Foreign Institution of Higher Education Foreign-based non-profit organizations/nongovernment organizations (NGO) Foreign Public Entity U.S. Non-Profit Organization (IRC section 501(c)(3)) U.S. Institution of Higher Education</t>
  </si>
  <si>
    <t>The Ukraine Cultural Heritage Response Initiative - Resilience Building Component (UCHRI-RBC) supports exchanges and other activities that build or strengthen the capacity of Ukraine to protect and preserve its culture and identity. Note: To apply for this funding opportunity, follow the instructions in the Application Instructions document under the Related Documents tab. Applicants must apply by email to ukraineheritres@state.gov. Applicants CANNOT submit applications via Grants.gov.</t>
  </si>
  <si>
    <t>F24AS00129 - Youth Engagement, Education, and Employment</t>
  </si>
  <si>
    <t>Public and State controlled institutions of higher education Other Organizations that have established Public Lands Corps Act eligibility as FWS Youth Corps member organizations such as 501(c)4 or 501(c) 5 nonprofit organizations that are labor unions, neighborhood associations, or other types of eligible organizations, including those that reach or represent potentially underserved communities. For all awards issued under the Public Lands Corps Act, recipient must have established eligibility under the FWS Youth Corps.  FWS Youth Corps eligibility information is included in the attachments to this NOFO.</t>
  </si>
  <si>
    <t>The U.S. Fish and Wildlife Service (FWS or Service) is the premier government agency dedicated to the conservation, protection, and enhancement of fish, wildlife and plants, and their habitats. We are the only agency in the federal government whose primary responsibility is the conservation and management of these important natural resources for the American public. The U.S. Fish and Wildlife Serviceâ€™s origins date back to 1871 when Congress established the U.S. Fish Commission to study the decrease in the nationâ€™s food fishes and recommend ways to reverse that decline. The FWS is committed to building and retaining a diverse and inclusive workforce that reflects the ethic, age, socioeconomic and cultural backgrounds, and language diversity of contemporary America. The FWS operates a variety of programs that promote wildlife conservation and public land management under the Public Lands Corps Act (PLC) through engagement, employment, and education of our nationâ€™s diverse youth and veterans. FWS programs operating under the Public Lands Corps Act have been designated as covered programs under Justice40 (Executive Order 14008). The FWS strives to meet the Federal Governmentâ€™s goal that 40 percent of the overall benefits of certain Federal Investments flow to disadvantaged communities that are marginalized, underserved, and overburdened by pollution. The categories of investment are climate change, clean energy and energy efficiency, clean transit, affordable and sustainable housing, training and workforce development, remediation of reduction of legacy pollution, and the development of critical clean water and wastewater infrastructure. The Public Lands Corps (PLC) Program is authorized by Congress under Title 16 USC Sec. 1721-1726; Public Law 109-154, Public Lands Corps Healthy Forests Restoration Act of 2005 (amends the Public Lands Corps Act of 1993), and all subsequent amendments. Guidance authorizes U.S. Fish and Wildlife Service to (1) establish PLC Programs (2) certify participants who meet the PLC eligibility requirements for the PLC non-competitive hiring authority status, and (3) ensure consistent program standards throughout the FWS.  The purpose of the FWS PLC programs (FWS Youth Corps) is to provide work and education opportunities for youth (defined as ages 16-30 inclusive, and up to age 35 for veterans) participants in the areas of natural and cultural resource conservation, development, and scientific research. Participants perform work on our nationâ€™s public lands by providing additional, unique capacity designed to boost the impact of the FWS for the conservation and management of fish, wildlife, plants and their habitats for the American people. The FWS Youth Corps Program allows the FWS to establish partnerships with Partner organizations (FWS Youth Corps), generally defined as â€œqualified youth or conservation corps,â€ using financial assistance/cooperative agreements or MOUs, to employ the next generation of conservationists in paid PLC projects and internships. Partners must be designated as an official member of the FWS Youth Corps in order to certify Participants. FWS Youth Corps application information is available in the attachments to this Notice of Funding Opportunity (NOFO).  See Full Announcement for additional information and application instructions.</t>
  </si>
  <si>
    <t>Joint Center of Excellence for Advanced Materials Research</t>
  </si>
  <si>
    <t>DOT-FAA-FAA COE-FAA JAMS</t>
  </si>
  <si>
    <t>FAA-COE-JAMS</t>
  </si>
  <si>
    <t>Others (see text field entitled "Additional Information on Eligibility" for clarification) Member universities of the COE can apply.</t>
  </si>
  <si>
    <t xml:space="preserve">The Joint Center of Excellence (COE) for Advanced Materials (JAMS) was established in January 2004 to assist in ensuring the safe and reliable application of comÂ­posites and advanced materials to commercial aircraft. The Center is a joint effort of the Center of ExcelÂ­lence for Composite and Advanced Materials (CECAM) led by WichÂ­ita State University and the Center of Excellence for Advanced MateÂ­rials in Transport Aircraft StrucÂ­tures (AMTAS) led by the UniverÂ­sity of Washington. The COE is a leader in international coordinaÂ­tion of research, development, and standardization for structures conÂ­structed from these new materials.The goal of this joint cenÂ­ter is to create a cost-sharing academic, inÂ­dustrial, and governmental partÂ­nership. The members are forging a union between the public sector, the private sector and academic inÂ­stitutions to create a world-class capability to identify solutions for existing and potential advanced materials and structures issues.The focus of this partnership is the research, engineering and deÂ­velopment of information used to assure safety and standardize cerÂ­tification of existing and emergÂ­ing structural applications of comÂ­posites and advanced materials. Specifically, projects include the evaluation of past applications, performance of applied research and the development of standard engineering practices. This Joint Center of Excellence, working with industry and government, also plays an important role in technology transfer, training, and continuing education for the aircraft industry and regulators.Research Areas:Damage Tolerance of Advanced Composite StructuresDurability of Adhesively Bonded Joints (Composite and Hybrid)Metal   Non-Metal Based Additive Manufacturing TechnologiesCrashworthiness of Composite Airframes and Seating SystemsEnvironmental and Aging Effects on In- Service Composite StructuresLightning Strikes on Composite AirframesNew material systems and innovative production technologiesMaintenance and Inspection of Composite Structures </t>
  </si>
  <si>
    <t xml:space="preserve">This is a test. Please DO NOT submit.      </t>
  </si>
  <si>
    <t>IVV</t>
  </si>
  <si>
    <t>IV&amp;V Test Agency</t>
  </si>
  <si>
    <t xml:space="preserve">Others (see text field entitled "Additional Information on Eligibility" for clarification)      </t>
  </si>
  <si>
    <t>This is a test. Please disregard this.Î± âˆ¨ Î²</t>
  </si>
  <si>
    <t>Cognitive Neuroscience</t>
  </si>
  <si>
    <t>The Cognitive Neuroscience (CogNeuro) Program seeks to fund proposals that can advance our understanding of the neural mechanisms underlying human cognition and behavior. Funded proposals typically advance theories in cognitive neuroscience by relating precise and rich quantifications of physiology, cognition and behavior with each other (Intellectual Merit). Funded proposals also typically strengthen the field through, for example, outreach, mentoring the next generation of diverse cognitive neuroscientists and/or increasing awareness and utilization of the research the field produces (Broader Impacts).
Intellectual MeritIn general, successful proposals provide a theoretical motivation for a series of experiments and analyses that test the differential predictions of that theory; they go beyond quantifying physiology associated with cognition and behavior. Research topics considered for funding include but are not limited to: action, perception, imagery, recognition, categorization, learning and memory, working memory, attention, language, problem solving, decision-making and social reasoning. Commensurate with the inherently multidisciplinary nature of the field and the limitations of any single technique, a wide variety of physiological methods are considered, including but not limited to: neuroimaging (e.g., fMRI, EEG, MEG), non-invasive stimulation (e.g. TMS, tES), lesion analysis, intracranial recording, optogenetics, genetics, optical imaging, computational modeling and pharmacological interventions in both human and non-human primates and other animal models. The program is particularly interested in proposals that achieve or enable convergence across multiple techniques.
Critically, proposals will be returned without review if they are focused on: (1) either behavior or physiology and lack a specific link between them, (2) understanding clinical populations or 3) non-human animals without a clear benefit to our understanding of humans.
Broader ImpactsIn general, successful proposals seek to make impacts beyond traditional academic routes, such as having the PIs publish research or teach undergraduate courses. Strong broader impacts can be quite varied but will typically involve specific efforts strengthening the field and/or increasing its visibility by leveraging the characteristics of the institution, department and/or researcher. Consider the following non-exhaustive examples:
STEM education and outreach, particularly in underserved communities.
Directly involving undergraduates and high-school students in research.
Making tools and applications available, discoverable, and easily useable by, the general public.
Science journalism or communication.
These efforts often relate to the proposed research, but suitable broader impacts with less direct connections to the specific research may also be proposed. PIs are encouraged to include these efforts in their proposal budgets if warranted. Refer to the Dear Colleague Letter: A Broader Impacts Framework for Proposals Submitted to NSF's Social, Behavioral, and Economic Sciences Directorate for more information.
Post-Doc Mentoring PlansStrong mentoring plans generally go beyond inclusion in standard lab activities and incorporate specific ideas for forwarding the careers of young scientists and trainees that leverage the setting and content of the proposed research.
General DirectionsPrior to the development of a full proposal, investigators are strongly encouraged to submit a one-page summary of the proposed research to a program director to evaluate its appropriateness for the CogNeuro Program. Please contact the program director early enough to allow for revisions and incorporation of what may be extensive feedback. The summary should include an overview of your research and statements of intellectual merit and broader impacts, the two NSF review criteria.
See the Merit Review Fact Sheet for more important facts about the NSF merit review process. Please read the NSF Proposal   Award Policies   Procedures Guide (PAPPG) carefully, as it will be strictly followed .
Currently, the average standard/CAREER award size is about $225K/175K per year for 3 to 5 years. Awards in excess of 1M are exceptionally rare and almost always multidisciplinary. Please be judicious in your requests, understanding the realities of the limited funding available for all proposals. See the listing of active Cognitive Neuroscience awards for additional award information.
Declined proposals are ineligible for resubmission until a minimum of one year has passed since the due date of their initial submission, unless specifically allowed by the Program Director in the feedback received during the decline process. This moratorium allows investigators the time required to digest the results of the merit review and revise their proposal accordingly. A proposal that has not been substantially revised will be returned without review as per the PAPPG.
PIs are strongly encouraged to submit the Single Copy Document titled  List of Suggested Reviewers  with their full proposal. Sharing of data and other materials is an expectation for funded research. Please consult the NSF Dear Colleague Letter: Effective Practices for Data for more details.
Interested in talking with a Program Director? Send a one-page description of the proposed research to sbe-cogneuro@nsf.govor submit a concept outline using the Program Suitability and Proposal Concept Tool (ProSPCT).</t>
  </si>
  <si>
    <t>Research Infrastructure in the Social and Behavioral Sciences</t>
  </si>
  <si>
    <t>The Research Infrastructure in the Social and Behavioral Sciences Program (RISBS) supports projects that create computational tools and data to facilitate basic research in the social and behavioral sciences that can lead to improved health, prosperity and security.
_x000D_
Projects should be aimed at creating computational tools and data to enable research by social scientists. Examples include, but are not limited to, data collection or assembly efforts that result in new resources for a community of researchers or software platforms that facilitate data collection efforts by others. RISBS does not support research by PIs except in service of creation of the infrastructure. Innovation is especially encouraged.
_x000D_
RISBS directly supports three key longitudinal surveys and panel studies that provide researchers with data on how American society functions and changes over time (and in 2010 were recognized as among the 60 most significant "discoveries or advances that... have had a large impact or influence on every American s life... call[ed] the  Sensational 60 , in honor of NSF s 60th anniversary ):
_x000D_
_x000D_
The American National Election Study, which started in 1948 and has been funded by NSF since 1977, provides  gold standard  data on voting, public opinion, and political participation in U.S. national elections._x000D_
The General Social Survey, a nationally representative interview survey of the U.S. adult population, collects data on a wide range of topics and has been funded by NSF since its inception in 1972._x000D_
The Panel Study of Income Dynamics, a longitudinal survey of a nationally representative sample of U.S. families begun in 1968 (with NSF taking over most of its funding in 1980) collects data on a wide array of economic, social and health factors._x000D_
_x000D_
The RISBS program administers separate solicitations for the American National Election Study (ANES), the General Social Survey (GSS) and the Panel Study of Income Dynamics (PSID). These solicitations have specific requirements and submission deadlines. Other infrastructure proposals may be submitted directly to the RISBS program at any time or transferred from other SBE programs following the respective program s submission guidelines. RISBS also collaborates with other programs in the social and behavioral sciences through a co-funding process to support projects that create especially valuable tools for researchers in those fields or are furthering innovations in research infrastructure.
_x000D_
Prospective PIs may also be interested in the Human Networks and Data Science Program   Infrastructure(HNDS-I), which supports proposals addressing the development of data resources and relevant analytic techniques that support research in the social, behavioral and economic sciences.Prospective PIs are strongly encouraged to contact the RISBS program officers and/or program officers from other SBE programs that may be applicable to the proposal before submitting to RISBS and to refer to the NSF Proposal   Award Policies   Procedures Guide (PAPPG) policies on duplicate or substantially similar proposals.</t>
  </si>
  <si>
    <t>Mathematical and Physical Sciences Ascending Faculty Catalyst Awards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</si>
  <si>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Only prior recipients of MPS-Ascend Postdoc Fellowships (those awarded under NSF 21-573, NSF 22-501, or NSF 23-501) who completed no less than 12 months as an MPS-Ascend Postdoc Fellow, are eligible for MPS-Ascend Faculty Catalyst Awards.
_x000D_
Applications for MPS-Ascend Faculty Catalyst award are accepted by invitation extended by the Program Director who manages or is cognizant of their MPS-Ascend Postdoc Fellowship award. The invitation to apply for theMPS-Ascend Faculty Catalyst award can be extended by themanaging or cognizant Program Director of the MPS-Ascend Postdoc Fellowship Award only after theMPS-Ascend Postdoc Fellows contacted and communicated with them.
_x000D_
Invited MPS-Ascend Faculty Catalyst proposals must be received no more than 12 months after the close of the MPS-Ascend Postdoc Fellowship, and no more than six months after the start of the first tenure-track appointment of the applicant at an Institution of Higher Education (IHE).
_x000D_
Hence, it is strongly advised that MPS-Ascend Postdoc Fellows contact their managing or cognizant Program Director as soon as they accept the offer of the tenure-track appointment.</t>
  </si>
  <si>
    <t>The purpose of the Mathematical and Physical Sciences Ascending Faculty Catalyst Awards (MPS-Ascend Faculty Catalyst Awards, MPS-AFCA) is to support successful MPS-Ascending Postdoctoral Research Fellows (MPS-Ascend Fellows) as they transition into tenure track (or equivalent) faculty positions at Institutions of Higher Education (IHE) inany scientific area within the purview of the five MPS Divisions: the Divisions of Astronomical Sciences (AST), Chemistry (CHE), Materials Research (DMR), Mathematical Sciences (DMS), and Physics (PHY).The program is intended to support these investigators of significant potential by providing them with resources for research and broadening participation activities that are in addition to initial resources typically provided through institutional start-up packages.This support is strategically designed to enable their continued scientific contributions and their exemplary leadership in the area of broadening participation. MPS-Ascend Postdoc Fellows are invited to apply for an MPS-Ascend Faculty Catalyst Award after consultation with the managing or cognizant Program Director of theMPS-Ascend Postdoc Fellowship Award.</t>
  </si>
  <si>
    <t>Enabling Partnerships to Increase Innovation Capacity</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</si>
  <si>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The emphasis of this solicitation is to enable institutions, with limited or no research capacity, to create partnerships with external organizations to grow programs in workforce development, use-inspired research and development (R D), and/or the translation of research to practice in emerging technology fields.IHEs eligible to apply for funding under this solicitation are only those considered as neither R1 nor R2 institutions according to the 2021 Carnegie Classification of Institutions of Higher Education ( a title=  href=  target= ).
Minority Serving Institutions (MSIs), Predominantly Undergraduate Institutions (PUIs), and two-year institutions (including community colleges and technical schools) that are not classified as R1 or R2 institutions are strongly encouraged to apply.
Minority Serving Institutions (MSIs):
MSIs include Historically Black Colleges and Universities (HBCUs), Hispanic-serving institutions (HSIs), Tribal colleges or universities (TCUs), and other institutions that enroll a significant percentage of underrepresented minority students as defined by the U.S. Department of Education. These other institutions include Alaska Native-serving institutions, Native Hawaiian-serving institutions, Predominantly Black Institutions, Asian American and Native American Pacific Islander-serving institutions, and Native American-serving non-tribal institutions. For more information, please see the U.S. Department of Education's definitions and lists of eligible postsecondary institutions ( a title=  href=  target= Link to MSI definitions ).
*Who May Serve as PI:
The PI must hold a full-time administrative or faculty position at the proposing institution. Part-time administrators, adjunct faculty, and temporary hires are not eligible to serve as PI. 
Preliminary proposals must identify up to three individuals from the submitting institution (including the PI) to participate in the EPIIC workshops, and at least one administrator is required to serve on this team. See Section II for details about the workshops. See Section V.A. for more details about the make-up of proposing teams.</t>
  </si>
  <si>
    <t>The purpose of this solicitation is to broaden participation in innovation ecosystems that advance key technologies (e.g., advanced manufacturing, advanced wireless, artificial intelligence, biotechnology, quantum information science, semiconductors, novel materials, and microelectronics) by supporting capacity-buildingefforts at institutions of higher education (IHEs) interested in growing external partnerships. Creation of this program is motivated by the commitment of the National Science Foundation (NSF), including the newly established NSF Directorate for Technology, Innovation and Partnerships (TIP), to accelerate scientific and technological innovation nationwide and empower all Americans to participate in the U.S. research and innovation enterprise. Establishing more inclusive innovation ecosystems will require broad networks of partners working together in support of use-inspired research; the translation of such research to practice or commercial application; and the development of a skilled workforce. The NSF Regional Innovation Engines (NSF Engines) program, housed within the TIP Directorate, seeks to growinclusive innovation ecosystemsaround the country. Growing such ecosystems will only be successful if all interested IHEs within a region are able to participate and contribute their unique set of skills and expertise. However, NSF appreciates many Minority-Serving Institutions (MSIs), Predominantly Undergraduate Institutions (PUIs), and two-year institutions lack the infrastructure and resources needed to grow external partnerships and effectively contribute to innovation ecosystems, and thus are currently unable to effectively engage with the NSF Engines program.
This solicitation aims to provide MSIs, PUIs, and two-year institutions with limited or no research capacity (see Section IV for details) with the support necessary to become equitable partners with teams competing under the current and subsequent NSF Engines program funding opportunities.Importantly, participation in this solicitation is not predicated on an existing partnership with organizations submitting an NSF Engines proposal.Rather, it is expected that the capacity-building efforts funded under this solicitation will provide significant innovation partnership opportunities irrespective of future participation in an NSF Engine.</t>
  </si>
  <si>
    <t>Research in the Formation of Engineers</t>
  </si>
  <si>
    <t>The NSF Engineering Directorate (ENG) has launched a multi-year initiative, theProfessional Formation of Engineers, to create and support an innovative and inclusive engineering profession for the 21stcentury. Professional Formation of Engineers (PFE) refers to the formal and informal processes and value systems by which people become engineers. It also includes the ethical responsibility of practicing engineers to sustain and grow the profession in order to improve quality of life for all peoples. The engineering profession must be responsive to national priorities, grand challenges, and dynamic workforce needs; it must be equally open and accessible to all.
_x000D_
Professional Formation of Engineers includes, but is not limited, to:
_x000D_
_x000D_
Introductions to the profession at any age;_x000D_
Development of deep technical and professional skills, knowledge, and abilities in both formal and informal settings/domains;_x000D_
Development of outlooks, perspectives, ways of thinking, knowing, and doing;_x000D_
Development of identity as an engineer and its intersection with other identities; and_x000D_
Acculturation to the profession, its standards, and norms._x000D_
_x000D_
The goal of the Research in the Formation of Engineers (RFE) program is to advance our understanding of professional formation. It seeks both to deepen our fundamental understanding of the underlying processes and mechanisms that support professional formation and to demonstrate how professional formation is or can be accomplished. Ultimately RFE aims to transform the engineer-formation system, and thus the impact of proposed projects on this system must be described. Principal Investigators (PIs) should provide a roadmap detailing how they envision the proposed research will eventually broadly impact practice within the engineer-formation system, even if these activities are not within the scope of the submitted proposal.
_x000D_
In order to accomplish its goals, RFE welcomes proposals in two categories: Research Projects, and Design and Development Projects. Research Projects address fundamental questions of professional formation, while Design and Development Projects provide new approaches to achieving professional formation. Additional details are provided below. Projects in both categories should address the iterative cycle in which research questions that advance understanding are informed by practice and the results of research are, in turn, translated into practice. In other words, proposals should explain how the research results will travel, translate, transfer, or scale. Successful projects identify specific target audiences, effective communication channels, and novel partnerships to ensure effective propagation and scaling. Proposal titles should begin with either   or  Design and Development:  as appropriate.
_x000D_
Research Projects
_x000D_
Research proposals are particularly welcome in the following areas:
_x000D_
_x000D_
Research that addresses lifelong learning by the engineering workforce._x000D_
Research on the impact of engineering education research. Proposals addressing this topic could investigate questions such as: How can we measure the impacts of engineering education research? What are effective strategies for scaling reforms? How can we translate knowledge from research to practice? What are the roles of technologies, networks and communities in achieving impact? RFE does not support efficacy, effectiveness, or scale-up studies for specific interventions._x000D_
Research that addresses culture change in engineering education. Included in this topic are investigations of normative cultures of engineering at any level in the engineering education ecosystem and how these cultures may disadvantage certain groups._x000D_
Research that addresses engineering formation at the two-year college level in both formal and informal settings._x000D_
Research that addresses engineering formation at the graduate education level in both formal and informal settings._x000D_
Research that investigates engineering in P-12 settings. Research in this area could include understanding of approaches to engineering in P-12, how to develop engineering ways of thinking, or the relationship between practices within the sciences and mathematics and engineering thinking._x000D_
Research on the transitions between education levels, e.g., from high school to two-year college, high school to four-year college/university, two-year college to four-year college/university, undergraduate to graduate school, education settings to the workforce or professoriate, etc._x000D_
Research that addresses the relationship between engineering and the public. Proposals addressing this topic could consider the social impact of engineering solutions, citizen engineering, education of an informed public, etc._x000D_
Research that develops or adapts novel methodologies and frameworks appropriate for studying the professional formation of engineers, and especially minoritized, marginalized, or underserved populations._x000D_
Research that addresses ways in which new technologies (such as artificial intelligence and machine learning) are changing engineering education._x000D_
Research to transform engineering education so that all students encounter environmental and social sustainability principles as an integrated part of their education and are equipped with the tools needed to incorporate these principles into their future research, careers, and innovations._x000D_
_x000D_
Proposals submitted to the Research Projects category should have clear research questions informed by an appropriate theoretical framework and a research design that includes sampling, data collection, and data analysis methods. This category will not support proposals that seek funding primarily to develop tools, curriculum, or laboratories, or that seek to implement classroom innovations that have already been shown to be effective in engineering. The program will evaluate the value of proposals by considering the impact and the cost. Research track projects that are small, exploratory, or speculative are especially encouraged. Larger Research track projects should have a correspondingly larger impact.
_x000D_
Design and Development Projects
_x000D_
RFE supports Design and Development projects (seehttps://www.nsf.gov/publications/pub_summ.jsp?ods_key=nsf13126) that seek to develop and test new approaches in the following areas related to engineering education:
_x000D_
_x000D_
Graduate education._x000D_
Undergraduate education in new engineering technologies and environmental sustainability._x000D_
Transitions between education levels, for example high school to two-year college, high school to four-year college/university, two-year college to four-year college/university, undergraduate to graduate school, education settings to the workforce or professoriate, etc._x000D_
P-12, especially approaches to develop engineering thinking, or providing links between engineering, science, and mathematics._x000D_
_x000D_
Proposals in this category should propose the design and development of new approaches that are informed by existing literature and theory. There should be clear objectives and the evaluation plan should be designed to determine if those objectives have been met. Projects cannot be solely demonstration projects but must add to the engineering education literature to inform future work.</t>
  </si>
  <si>
    <t>WaterSMART: Large-Scale Water Recycling Projects for Fiscal Years 2023 and 2024</t>
  </si>
  <si>
    <t>Others (see text field entitled "Additional Information on Eligibility" for clarification) Applicants eligible to receive financial assistance to fund activities under this NOFO include:  States, Indian Tribes, municipalities, irrigation districts, water districts, wastewaterdistricts; and any state, regional, or other organization with water or power deliveryauthority,  State, regional, or local authorities, the members of which include one or moreorganizations with water or power delivery authority; and  An agency established under State law for the joint exercise of powers, or a combinationof entities described above.All applicants must be located in the Western United States; specifically: Arizona, California, Colorado, Idaho, Kansas, Montana, Nebraska, Nevada, New Mexico, North Dakota, Oklahoma, Oregon, South Dakota, Texas, Utah, Washington, and Wyoming.</t>
  </si>
  <si>
    <t>The U.S. Department of the Interiorâ€™s (Department) WaterSMART (Sustain and Manage Americaâ€™s Resources for Tomorrow) Program provides a framework for Federal leadership and assistance to stretch and secure water supplies for future generations in support of the Departmentâ€™s priorities. Through WaterSMART, the Bureau of Reclamation (Reclamation) leverages Federal and non-Federal funding to support stakeholder efforts to stretch scarce water supplies and avoid conflicts over water.Through the Title XVI Water Reclamation and Reuse Program (Title XVI), authorized by P.L. 102-575 in 1992, Reclamation provides financial and technical assistance to local water agencies for the planning, design, and construction of water reclamation and reuse projects. Water recycling is a tool in stretching the limited water supplies in the Western United States. Title XVI projects develop and supplement urban and irrigation water supplies through water reuse, thereby improving efficiency, providing flexibility during water shortages, and diversifying the water supply. These projects provide growing communities with new sources of clean water which increases water management flexibility and makes our water supply more reliable.Through the Large-Scale Water Recycling Program, Reclamation will provide up to 25 percent (%) Federal cost share, with no per-project Federal funding maximum, to water recycling projects that have a total project cost greater than or equal to $500 million. Large-scale water recycling projects will play an important role in helping communities develop local, drought-resistant sources of water supply by turning currently unusable water sources into a new source of water supply that is less vulnerable to drought and climate change. The Large-Scale Water Recycling Projects funding opportunity provides support for priorities identified in Presidential Executive Order (E.O.) 14008: Tackling the Climate Crisis at Home and Abroad and is aligned with other priorities, such as those identified in E.O. 13985: Advancing Racial Equity and Support for Underserved Communities Through the Federal Government. In particular, the Large-Scale Water Recycling Projects funding opportunity advances the Biden-Harris Administrationâ€™s Justice40 Initiative. Established by E.O. 14008, the Justice40 Initiative has made it a goal that 40 percent of the overall benefits of certain federal investments, such as climate, clean energy, and other areas, flow to disadvantaged communities.</t>
  </si>
  <si>
    <t>Decision, Risk and Management Sciences - Doctoral Dissertation Research Improvement Grants</t>
  </si>
  <si>
    <t>Others (see text field entitled "Additional Information on Eligibility" for clarification) *Who May Submit Proposals: Proposals may only be submitted by the following:
  -
Institutions of Higher Education (IHEs) - Ph.D. granting IHEs accredited in, and having a campus located in, the U.S. acting on behalf of their faculty members.
*Who May Serve as PI:
DRMS DDRIG proposals must be submitted through regular organizational channels by the dissertation advisor. The principal investigator (PI) must be the doctoral student's dissertation advisor and the co-principal investigator (co-PI) must be the doctoral student. If appropriate, and at the discretion of the submitting organization, an additional faculty advisor at the same or another institution may be listed as another co-PI. Doctoral students are expected to be at the appropriate stage of their academic careers to enable them to work with their dissertation advisors to prepare and to submit the DDRIG proposal.</t>
  </si>
  <si>
    <t>The Decision, Risk and Management Sciences Program (DRMS) supports scientific research directed at increasing understanding and effectiveness of decision making by individuals, groups, organizations and society. DRMS supports research with solid foundations in theories and methods of the social and behavioral sciences. This social and behavioral science research should advance knowledge, address fundamental scientific and societal issues and have strong broader impacts. DRMS funds doctoral dissertation research improvement grants (DDRIGs) in the following areas:
Judgement and decision making.
Decision analysis and decision aids.
Risk analysis, perception and communication.
Societal and public-policy decision making.
Management science and organizational design.
All research must be grounded in theory and generalizable. Purely theoretical or algorithmic proposals are not appropriate for DRMS DDRIG proposals.</t>
  </si>
  <si>
    <t>Arctic Research Opportunities</t>
  </si>
  <si>
    <t>Others (see text field entitled "Additional Information on Eligibility" for clarification) *Who May Submit Proposals: Proposals may only be submitted by the following:
  -Foreign organizations: For cooperative projects involving U.S. and foreign organizations, support will only be provided for the U.S. portion.
  -For-profit organizations: U.S.-based commercial organizations, including small businesses, with strong capabilities in scientific or engineering research or education and a passion for innovation.
  -Non-profit, non-academic organizations: Independent museums, observatories, research laboratories, professional societies and similar organizations located in the U.S. that are directly associated with educational or research activities.
  -Other Federal Agencies and Federally Funded Research and Development Centers (FFRDCs): Contact the appropriate program before preparing a proposal for submission.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t>
  </si>
  <si>
    <t>The National Science Foundation (NSF) invites investigators at U.S. organizations to submit proposals to the Arctic Sciences Section in the Office of Polar Programs (OPP) within the Geosciences Directorate, to conduct research about the Arctic region.
The goal of this solicitation is to attract research proposals that advance a fundamental, process, and/or systems-level understanding of the Arctic's rapidly changing natural environment, social and cultural systems, and, where appropriate, to improve our capacity to project future change. The Arctic Sciences Section supports research focused on the Arctic region and its connectivity with lower latitudes. The scientific scope is aligned with, but not limited to, research priorities outlined in theInteragency Arctic Research Policy Committee (IARPC)five-year plan.
The Arctic Sciences Section coordinates with programs across NSF and with other federal and international partners to co-review and co-fund Arctic-related proposals as appropriate. The Arctic Sciences Section also maintains Arctic logistical infrastructure and field support capabilities that are available to enable research.</t>
  </si>
  <si>
    <t>Condensed Matter and Materials Theory</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</si>
  <si>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See  Limit on Number of Proposals per PI or Co-PI  below.</t>
  </si>
  <si>
    <t>CMMT supports theoretical and computational materials research in the topical areas represented in DMR's other Topical Materials Research Programs (these are also variously known as Individual Investigator Award (IIA) Programs, or Core Programs, or Disciplinary Programs), which are: Condensed Matter Physics (CMP), Biomaterials (BMAT), Ceramics (CER), Electronic and Photonic Materials (EPM), Metals and Metallic Nanostructures (MMN), Polymers (POL), and Solid State and Materials Chemistry (SSMC). The CMMT program supports fundamental research that advances conceptual understanding of hard and soft materials, and materials-related phenomena; the development of associated analytical, computational, and data-centric techniques; and predictive materials-specific theory, simulation, and modeling for materials research. First-principles electronic structure, quantum many-body and field theories, statistical mechanics, classical and quantum Monte Carlo, and molecular dynamics, are among the methods used in the broad spectrum of research supported in CMMT. Research may encompass the advance of new paradigms in materials research, including emerging data-centric approaches utilizing data-analytics or machine learning. Computational efforts span from the level of workstations to advanced and high-performance scientific computing. Emphasis is on approaches that begin at the smallest appropriate length scale, such as electronic, atomic, molecular, nano-, micro-, and mesoscale, required to yield fundamental insight into material properties, processes, and behavior, to predict new materials and states of matter, and to reveal new materials phenomena. Approaches that span multiple scales of length and time may be required to advance fundamental understanding of materials properties and phenomena, particularly for polymeric materials and soft matter. Areas of recent interest include, but are not limited to: strongly correlated electron systems; topological phases; low-dimensional materials and systems; quantum and classical nonequilibrium phenomena, the latter including pattern formation, materials growth, microstructure evolution, fracture, and the jamming transition; gels; glasses; disordered materials, hard and soft; defects; high-temperature superconductivity; creation and manipulation of coherent quantum states; nanostructured materials and mesoscale phenomena; sustainable materials; polymeric materials and soft condensed matter; active matter and related collective behavior; biologically inspired materials, and research at the interfaces of materials with biological systems.
_x000D_
CMMT encourages potentially transformative submissions at the frontiers of theoretical, computational, and data-intensive materials research, which includes but is not limited to: i) advancing the understanding of emergent properties and phenomena of materials and condensed matter systems, ii) developing materials-specific prediction and advancing understanding of properties, phenomena, and emergent states of matter associated with either hard or soft materials, iii) developing and exploring new paradigms including computational and data-enabled approaches to advance fundamental understanding of materials and materials related phenomena, iv) fostering research at interfaces among subdisciplines represented in the Division of Materials Research, v) harnessing machine learning or developing explainable machine learning to advance understanding of materials and materials-related phenomena, or vi) developing new theoretical frameworks in areas of materials research, such as active matter, nonequilibrium materials or matter, the synthesis of solid-state materials, or reformulating quantum many-body theory for conceptual insight or greater tractability.
_x000D_
Research involving significant materials research cyberinfrastructure development, for example, software development with an aim to share software with the broader materials community, should be submitted to CMMT through Computational and Data-Enabled Science and Engineering (CDS E) in accordance with its submission instructions for DMR.
_x000D_
Additional Information
_x000D_
Eligibility rules apply for submissions; please see Section II. Program Description, Section IV. Eligibility Information, and Section V.A Proposal Preparation Instructions.</t>
  </si>
  <si>
    <t>Division of Materials Research: Topical Materials Research Programs</t>
  </si>
  <si>
    <t>Materials Research is the field of science where physics, chemistry, materials science, and engineering naturally converge in the pursuit of the fundamental understanding of the properties of materials and the phenomena they host. Materials are abundant and pervasive, serving as critical building blocks in technology and innovation. Materials Research impacts life and society, as it shapes our understanding of the material world and enables significant advances spanning the range from nanoelectronics to health-related fields. The development and deployment of advanced materials are major drivers of U.S. economic growth.
_x000D_
Research supported by the Division of Materials Research (DMR) focuses on advancing the fundamental understanding of materials, materials discovery, design, synthesis, characterization, properties, and materials-related phenomena. DMR awards enable understanding of the electronic, atomic, and molecular structures, mechanisms, and processes that govern nanoscale to macroscale morphology and properties; manipulation and control of these properties; discovery of emerging phenomena of matter and materials; and creation of novel design, synthesis, and processing strategies that lead to new materials with unique characteristics. These discoveries and advancements transcend traditional scientific and engineering disciplines. Projects supported by DMR are not only essential for the development of future technologies and industries that address societal needs, but also for the preparation of the next generation of materials researchers.
_x000D_
Additional Information
_x000D_
Eligibility rules apply for submissions; please see Section II. Program Description, Section IV. Eligibility Information, and Section V.A Proposal Preparation Instructions</t>
  </si>
  <si>
    <t>Community Facilities Program Disaster Repair Grants</t>
  </si>
  <si>
    <t>USDA-RHS</t>
  </si>
  <si>
    <t>Rural Housing Service</t>
  </si>
  <si>
    <t>Nonprofits having a 501(c)(3) status with the IRS, other than institutions of higher education An eligible applicant must be a public body, nonprofit corporation, or Federally-recognized tribe. To be eligible for grant funds under this Notice,  the project must be located in a rural area in a county (or a rural area of a Reservation for Indian tribes) with a disaster declaration as declared by the President of the United States;  the disaster declaration must be related to the consequences of a disaster occurring in CY 2022;  the Federal Emergency Management Agency (FEMA) must have provided a notice declaring the disaster.  The term rural or rural area is defined in Section 343(a)(13)(C) of the Consolidated Farm and Rural Development Act (7 U.S.C. 1991(a)(13)(C)), as amended, as a city, town or, unincorporated area that has a population of not more than 20,000 inhabitants.</t>
  </si>
  <si>
    <t xml:space="preserve">
This program provides up to $50 million in grant funding to eligible public bodies, non-profits, and Federally-recognized tribes. Grants may cover up to 75 percent of total project cost. There is no minimum or maximum award amount.
Grants will be provided to eligible applicants to repair eligible essential community facilities damaged by Presidentially Declared Disasters that occurred in CY 2022 . Subject to any updates to the Presidentially Declared Disasters, the following states have been identified with areas that have been impacted by qualifying events during CY 2022: Alaska, American Samoa, Arizona, California, Colorado, Florida, Hawaii, Idaho, Illinois, Iowa, Kansas, Kentucky, Maine, Massachusetts, Minnesota, Mississippi, Missouri, Montana, Nebraska, Nevada, New Mexico, New York, North Carolina, North Dakota, Oklahoma, Oregon, Puerto Rico, Rhode Island, South Carolina, South Dakota, Tennessee, Texas, U.S. Virgin Islands, Virginia, Washington, and West Virginia.
Applications for the CF Program Disaster Repair Grants must be submitted to the applicable USDA RD Office. Applications will be accepted on a continual basis, beginning on the publication date of this notice, until funds are exhausted. The applicable USDA RD State Office will conduct an initial review, rating, and selection of complete applications.</t>
  </si>
  <si>
    <t>NIH Blueprint and BRAIN Initiative Program for Enhancing Neuroscience Diversity through Undergraduate Research Education Experiences (BP BRAIN-ENDURE) (R25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</si>
  <si>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not allowed.</t>
  </si>
  <si>
    <t>The NIH Research Education Program (R25) supports research education activities in the mission areas of the NIH.  The over-arching goal of this NIH Blueprint R25 program is to encourage individuals from diverse backgrounds, including those from groups underrepresented in the biomedical, behavioral, and clinical research workforce, to pursue further studies or careers in research. To accomplish the stated over-arching goal, this FOA will support creative educational activities with a primary focus on     Courses for Skills Development, Research Experiences, and Mentoring Activities.The fully integrated educational activities should prepare undergraduate students from diverse backgrounds, including those from groups underrepresented in biomedical and behavioral sciences to enter Ph.D. degree programs in the neurosciences.  To accomplish this goal, this initiative will provide institutional awards to develop neuroscience research education programs comprised of collaborative partnerships integrated across different educational institution types. Each partnership must include: a) one or more institutions that either: 1) have a historical and current mission to educate students from any of the populations that have been identified as underrepresented in biomedical research as defined by the National Science Foundation NSF, see http://www.nsf.gov/statistics/wmpd/) (i.e., African Americans or Blacks, Hispanic or Latino Americans, American Indians, Alaska Natives, Native Hawaiians, U.S. Pacific Islanders, and persons with disabilities) or 2) have a documented track record of recruiting, training and/or educating, and graduating underrepresented students as defined by NSF (see above), which has resulted in increasing the institution's contribution to the national pool of graduates from underrepresented backgrounds who pursue biomedical research careers; b) a research-intensive institution that has an established neuroscience or neuroscience-related program; c) integrated</t>
  </si>
  <si>
    <t>Facility and Instrumentation Request Process</t>
  </si>
  <si>
    <t>The Facility andÂ InstrumentationÂ Request Process (FIRP)Â solicitation describes theÂ mechanismÂ by which the research community can propose projects that require access toÂ instrumentation and facilities sponsored by theÂ FacilitiesÂ for Atmospheric ResearchÂ and EducationÂ (FARE) ProgramÂ in theÂ Division of Atmospheric andÂ GeospaceÂ Sciences (AGS).Â  FARE provides funding to a variety of organizations to make specialized instrumentation and facilities available to the atmospheric science research communityÂ through the Lower Atmosphere Observing Facilities (LAOF) and the Community Instruments and Facilities (CIF) programs. FIRP allows for parallel evaluation of intellectual merit and broader impacts along with the feasibility of the proposed project.
All proposals to AGS that require the use of FARE-sponsored assets must be submitted through this solicitation.Â 
The FIRP solicitation offers three proposal submission tracks based on the type and purpose of the request:Â Â 
Track 1Â -Â Education and Outreach.
Track 2Â -Â Single Facility Request.
Track 3Â -Â Field Campaigns. Â Â  
Preference for funding will be given to proposals submitted to programs in the DivisionÂ ofÂ Atmospheric andÂ GeospaceÂ Sciences (AGS) in the Geosciences Directorate (GEO).Â If you are planning to submit a proposal to a program outside AGS, including NSF-wide or Directorate-wide solicitations, please contact the FARE program director, Shree Mishra at fare@nsf.gov to discuss the timelines, review process, andÂ budget request for the use of FARE assets.Â </t>
  </si>
  <si>
    <t>Catalysis</t>
  </si>
  <si>
    <t>The Catalysis program is part of the Chemical Process Systems cluster, which also includes: 1) the Electrochemical Systems program; 2) the Interfacial Engineering program; and 3) the Process Systems, Reaction Engineering, and Molecular Thermodynamics program.
_x000D_
The goals of the Catalysis program are to increase fundamental understanding in catalytic engineering science and to advance the development of catalysts and catalytic reactions that are beneficial to society. Research should focus on critical challenges and opportunities in both new and proven catalysis technologies. Areas of emphasis may include novel catalyst compositions, structures, operating environment, data science tools, theory, and modeling   preferably in various combinations as dictated by the specific reaction and related knowledge and technology gaps. Target applications include fuels, specialty and bulk chemicals, environmental catalysis, biomass conversion to fuels and chemicals, greenhouse gas mitigation, recycling of waste materials, generation of solar hydrogen, as well as efficient routes to energy utilization.
_x000D_
Heterogeneous catalysis represents the main thrust of the program. Proposals related to both gas-solid and liquid-solid heterogeneous catalysis are welcome, as are proposals that incorporate concepts from homogeneous catalysis. Recent research trends have highlighted the need for evaluation of catalyst performance and properties under working conditions, especially as supported by advanced in situ and in operando characterization methods. Catalyst synthesizability and stability present additional research opportunities given the harsh operating environments of many catalytic processes. 
_x000D_
Topic areas of particular interest include:
_x000D_
_x000D_
Energy-related catalysis, utilizing renewable or sustainable energy in lieu of thermal, fossil fuel-based technologies, especially applications in electrocatalysis, photocatalysis, and catalytic conversion of biomass-derived chemicals, and also including fuel cell catalysis._x000D_
Catalysis aimed at closing the carbon cycle (especially conversion of carbon dioxide, methane, and natural gas to fuels and chemical intermediates)._x000D_
Heterogeneous catalytic alternatives to traditionally non-catalytic or homogeneous reaction processes, as well as new catalyst designs for established catalytic processes._x000D_
Environmental catalysis focused on mitigating both air and water pollutants, and supporting energy-efficient upcycling of waste materials to higher-value products._x000D_
Catalytic remediation of feedstocks, process streams, products, or effluents._x000D_
Commercially scalable methods of catalyst synthesis, including durable, poison-resistant, and easily regenerable catalyst formulations and designs._x000D_
New catalytic materials and architectures (especially those substituting earth-abundant materials for precious and noble metal catalysts)._x000D_
Basic understanding of catalytic materials, reaction pathways, kinetics, and surface reaction mechanisms._x000D_
Advanced tools for catalyst characterization and theoretical/computational catalysis._x000D_
_x000D_
Proposals that deal with new catalytic materials, especially when viewed in light of the inherent complexity of heterogeneous catalytic reactions, will be enhanced by including plans to assess: 1) reproducibility and repeatability of data, 2) stability under realistic operating conditions including start-up and shut-down cycles, 3) performance relative to standard or well-known reference materials, and 4) quantitative, well-accepted measures of catalyst activity, selectivity, and catalytic efficiency, such as turnover frequencies, quantum and/or photon yields of photocatalysts, Faradaic efficiency of electrocatalytic reactions, and detailed product analyses and mass balances for the targeted application.
_x000D_
NOTE: Proposals that focus on 1) molecular or homogeneous catalysis, 2) the surface science of catalysis, 3) photo redox catalysis, 4) catalytic organic synthesis reactions, and/or 5) fine chemical synthesis and pharmaceutical applications of catalysis may be more appropriately submitted to the Chemical Catalysis program.(CHE 6884) in the Division of Chemistry in the Directorate for Mathematical and Physical Sciences. Proposals focused on biocatalytic processes, including proposals focusing on enzyme engineering, cellular and biomolecular processes, should be submitted to the Cellular and Biochemical Engineering program (CBET 1491). If the proposal focuses on reaction engineering aspects of catalytic processes, submit to the Process Systems, Reaction Engineering, and Molecular Thermodynamics program (CBET 1403). Projects that are interdisciplinary in nature may be jointly funded with other CBET and NSF programs. Program directors will review the submissions and may transfer your proposal to give it the best review situation.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Award Policies   Procedures Guide (PAPPG)will be returned without review.</t>
  </si>
  <si>
    <t>Calendar Year 2022 Disaster Water Grants</t>
  </si>
  <si>
    <t>Others (see text field entitled "Additional Information on Eligibility" for clarification) Eligible Applicants.  See information on eligibility under Description below.</t>
  </si>
  <si>
    <t>APPLICATIONS ARE TO BE SUBMITTED ELECTRONICALLY THROUGH RD APPLY AT: https://rdapply.sc.egov.usda.gov/. This posting at grants.gov is informational only. ï»¿The CY 2022 Disaster Water Grants Program is designed to assist communities by awarding grant funds to qualified entities for expenses related to water infrastructure systems in designated areas that were impacted by events that occurred during CY 2022 and were recognized through Presidentially Declared Disasters. In addition to damage repairs, these grants are also intended to develop system capacity and resiliency in order to reduce or eliminate long-term risks from future events. Water infrastructure systems include drinking water, wastewater, solid waste, and stormwater projects serving eligible communities. Adequate documentation must be provided to demonstrate impacts to the water infrastructure systems. Eligible applicants must meet the following eligibility requirements: (a) Be either a Public Body, an organization operated on a not-for-profit basis, a tribe, or a prefabricated home organization operating an eligible community-based system. Non-tribal applicants proposing to serve tribes and tribal areas should have the support of those tribes either in the form of a Tribal Resolution and/or letter of support for the project impacting their communities.(b) Be eligible to receive and administer a Federal grant under Federal law. (c) Each applicant must:(1) Have or will obtain the legal authority necessary for owning, constructing, operating, and maintaining the facility or service to be repaired or replaced and for issuing security for the proposed grant;(2) Be responsible for operating, maintaining, and managing the facility, and providing for its continued availability and use at reasonable user rates and charges; and(3) Retain this responsibility even though the facility may be operated, maintained, or managed by a third party under contract or management agreement. (d) Demonstrate that they possess the technical, managerial, and financial capability necessary to consistently comply with pertinent Federal and State laws and requirements. (e) Have no delinquent debt to the federal government or no outstanding judgments to repay a federal debt.</t>
  </si>
  <si>
    <t>BHA Multi Year Annual Program Statement (BHA MYAPS)</t>
  </si>
  <si>
    <t>Unrestricted (i.e., open to any type of entity above), subject to any clarification in text field entitled "Additional Information on Eligibility" See APS for applicant eligibility details</t>
  </si>
  <si>
    <t>December 17, 2024, Final version of Leading through Excellence and Accountability Program (LEAP) Activity MYAPS Round 06 
Round 6 of the of the Multi-Year Annual Program Statement (MY APS) No. 720BHA23APS00002-06, titled, â€œRound 06-BHA LEAP under Base MYAPS 720BHA23APS00002â€ (referred to as Round 6, or LEAP Activity) is requesting the submission of concept papers.  
Please refer to the base document of the MY APS for additional information. While this Round is intended to be an elaboration of the information provided in the MY APS Base document, should there be differences between the two, this Round will supersede information in the base document. As such, both documents should be read in conjunction to ensure all application requirements are met. 
Questions regarding this Round 6 LEAP Activity APS should be submitted in writing to: 720BHA23APS00002-06.LEAP@usaid.gov no later than January 6, 2025, 11:59 p.m. (Eastern Standard Time) 
December 16, 2024, Final version of West Africa DRR MYAPS Round 05 
Round 05 of the of the Multi-Year Annual Program Statement (MY APS) No. 720BHA23APS00002-05, titled, â€œRound 05 of the Multi-Year Annual Program Statement (MY APS) No. 720BHA23APS00002 (referred to as MY APS Round 05, or West Africa ER4 APS) is requesting the submission of applications.  
Please refer to the base document of the MY APS for additional information. While this Round is intended to be an elaboration of the information provided in the MY APS Base document, should there be differences between the two, this Round will supersede information in the base document. As such, both documents should be read in conjunction to ensure all application requirements are met. 
Questions regarding this Round 5 West Africa ER4 APS should be submitted in writing to: BHA.720BHA23APS00002-05.WADRR@usaid.gov no later than January 8, 2025, 5:00 p.m. (Eastern Standard Time) 
November 20, 2024, Final version of Nepal Round 4 and Q A document 
Please note that the USAID's Bureau for Humanitarian Assistance (BHA) Final Amendment 1 Nepal Round 4 and the Question   Answer documents have been published as of Wednesday, November 20, 2024. The amended Round 4 (changes highlighted in yellow) and Q A Document address the pertinent questions/comments received by November 1, 2024, which was the closing date for questions for Round 4. 
Concept Notes should be submitted to BHA.720BHA23APS00002-04.NP@usaid.gov no later than December 13, 2024, 11:59 p.m. EST. 
The documents can be found under Folder "Full Announcement - 720BHA23APS00002-04-Nepal"; the file names are "720BHA23APS00002-04 Nepal Amendment 1 Round 4" and "Q A Responses for MYAPS Nepal Round 720BHA23APS00002-04" 
October 11, 2024, 2024 Final version of Nepal RFSA MY APS Round 4 
Round 4 of the of the Multi-Year Annual Program Statement (MY APS) No. 720BHA23APS00002-04, titled, â€œRound 04 -Nepal Early Recovery, Risk Reduction, and Resilience (ER4) Activity under BHA Multi-Year Base Annual Program Statement (MYAPS) 720BHA23APS00002â€ (referred to as MY APS Round 4, or Nepal ER4 APS) is requesting the submission of concept notes. USAID anticipates issuing one award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 4 will supersede information in the Base APS. As such, both documents should be read in conjunction to ensure all application requirements are met. 
Comments regarding this Round 4 Nepal ER4 APS should be submitted in writing to: BHA.720BHA23APS00002-04.NP@usaid.gov no later than November 1, 2024, at 16:59 p.m. EST. 
August 7, 2024, Final version of WASH MYAPS Round 3 and Q A document 
Please note that the USAID's Bureau for Humanitarian Assistance (BHA) Final Amended WASH MYAPS Round 3 and the Question   Answer documents have been published as of Wednesday, August 7, 2024. The amended Round 3 (changes highlighted in yellow) and Q A Document address the pertinent questions/comments received by July 5, 2024, which was the closing date for questions for Round 3. Concept Papers should be submitted to BHA.720BHA23APS00002-03.WASH@usaid.gov no later than August 30, 2024, 11:59 p.m. 
The documents can be found under Folder "Full Announcement - 720BHA23APS00002-03-WASH"; the file names are "720BHA23APS00002-03 WASH Studies Amended Final Round 3" and "Q A Responses for MYAPS WASH Round 720BHA23APS00002-03" 
July 29, 2024. Concept Paper Submission date for ROUND 3 WASH Updated 
The Concept Paper Submission date for the Round 3 WASH has been updated. Concept Papers should be submitted to BHA.720BHA23APS00002-03.WASH@usaid.gov no later than August 30, 2024, 11:59 p.m. 
June 20, 2024. Round 3 WASH APS 
Round 3 of the of the Multi-Year Annual Program Statement (MY APS) No. 720BHA23APS00002-03-WASH, titled, â€œBHA Multi-Year APS: Round 03-Water Sanitation and Hygiene (WASH) Studiesâ€ (referred to as MY APS Round 3, or WASH APS) is requesting the submission of applications focused on Water Sanitation and Hygiene (WASH) Studies Activity. USAID anticipates issuing up to two (2) awards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 3 will supersede information in the Base APS. As such, both documents should be read in conjunction to ensure all application requirements are met. 
Comments regarding this Round 3 WASH APS should be submitted in writing to: no later than July 5, 2024, at 11:59 p.m. EST. 
May 1, 2024 Final version of Madagascar RFSA MY APS Round 2 
Please note that the Final Amended RFSA MY APS Madagascar for USAID's Bureau for Humanitarian Assistance (BHA) Resilience Food Security Activity (RFSA) as well as the Questions   Answers document have been published, as of Wednesday, May 1, 2024 on Grants.gov. The amended RFSA (changes highlighted in yellow) and Q A document, address the pertinent questions/comments received by the April 11, 2024, closing date for questions on the subject RFSA. The File name is â€œ720BHA23APS00002-Revised Full Announcement - Final Madagascar RFSA Round 2.â€ 
April 23, 2024 Final Amended RFSA MY APS Somalia Round 1  
Please note that the Final Amended RFSA MY APS Somalia for USAID's Bureau for Humanitarian Assistance (BHA) Resilience Food Security Activity (RFSA) as well as the Questions   Answers document have been published (as of Tuesday, April 23, 2024) on Grants.gov. The amended RFSA (changes highlighted in yellow) and Q A document addresses the pertinent questions/comments received by the April 3, 2024, 12:00 p.m. ET closing date.  
March 28, 2024 Final version of Madagascar RFSA MY APS Round 2 
Please note that the final version of Madagascar MY APS Round 2 for USAID's Bureau for Humanitarian Assistance (BHA) RFSA in Madagascar has been published (as of Tuesday, March 28, 2024) on Grants.gov. The final Round 2 addresses the pertinent questions/comments received during the comments period for the subject Round 2. 
Applications are due by Friday May 13, 2024 at 12:00pm Eastern Time (ET). 
Please note that no BHA Humanitarian Assistance Officers or field representatives should be contacted about information contained in the RFSA materials or with application questions. Any questions concerning this RFSA, its appendices, or Technical References must be submitted in writing by April 11, 2024 at 12:00pm Eastern Time (ET) to BHA.720BHA23APS00002-02.MG@usaid.gov with "Madagascar MY APS Round 2" in the subject line.  
March 19, 2024 Final version of Somalia RFSA MY APS Round 1 
Please note that the final version of Somalia MY APS Round 1 for USAID's Bureau for Humanitarian Assistance (BHA) RFSA in Somalia has been published (as of Tuesday, March 19, 2024) on Grants.gov. The final Round 1 addresses the pertinent questions/comments received during the comments period for the subject Round 1. 
Applications are due by Friday May 3, 2024 at 12:00pm Eastern Time (ET). 
Please note that no BHA Humanitarian Assistance Officers or field representatives should be contacted about information contained in the RFSA materials or with application questions. Any questions concerning this RFSA, its appendices, or Technical References must be submitted in writing by April 3, 2024 at 12:00pm Eastern Time (ET) to BHA.720BHA23APS00002-01.SOM@usaid.gov with "Somalia MY APS Round 1" in the subject line.  
February 27, 2024 
The Public Briefing Fiscal Year (FY) 2024 Somalia Resilience Food Security Activity (RFSA) is now available. The presentation can be found under Related Documents and the recorded presentation can be found at the following link: and the BHA RFSA page: https://www.usaid.gov/humanitarian-assistance/partner-with-bha/bha-rfsa. 
February 26, 2024 
The Public Briefing Fiscal Year (FY) 2024 Madagascar Resilience Food Security Activity (RFSA) is now available. The presentation can be found under Related Documents and the recorded presentation can be found at the following link: https://drive.google.com/file/d/1D9ReLqYb3h43i7YgLtIl2har96xscWuV/view  and the BHA RFSA page: https://www.usaid.gov/humanitarian-assistance/partner-with-bha/bha-rfsa. 
February 14, 2024 
Round Two of the Multi-Year Annual Program Statement (MY APS) No. 720BHA23APS00002-02-MG (referred to as MY APS Round-2, RFSA, or Madagascar RFSA) is requesting the submission of applications focused on resilience and food security in Madagascar. USAID anticipates issuing up to two (2) awards under this Round. 
This round is issued under the MY APS. Unless otherwise stated herein, all terms and conditions of the MY APS apply. Please refer to the Base MY APS for additional information. While this Round is intended to be an elaboration of the information provided in the Base APS, should there be differences between the two, this MY APS Round-2 will supersede information in the Base APS. As such, both documents should be read in conjunction to ensure all application requirements are met. 
The draft round is available for public comment. 
Comments regarding this Round 02 Madagascar RFSA should be submitted in writing to: BHA.720BHA23APS00002-02.MG@usaid.gov no later than March 1, 2024 at 4:00pm EST.  
USAID/BHA will conduct a stakeholder consultation on February 22, 2024, from 9am-12pm EST for Round 02 Madagascar Resilience Food Security Activities (RFSA). 
The agenda for the stakeholder briefing is as follows: 
Welcome and Overview 
Overview of the Madagascar RFSA 
Overview of the MY APS Round 
Questions and Answers 
Closing 
BHA will conduct the briefing using a virtual format, using this call-in information:  
meet.google.com/kui-gvkw-czo or join by phone: +1 385-323-0247â€¬ PIN: â€ª145 134 253â€¬.  
More phone numbers: https://meet.google.com/tel/kui-gvkw-czo?pin=5002157298488 hs=1. 
There will be no in-person option for this briefing.â€¬â€¬ 
Participants must register by 6:00 pm EST on February 21 using this Google link: https://docs.google.com/forms/d/e/1FAIpQLScCwE2NCriRmwm1Emm1wY8-TmNrdphdqeLDJBVuxkvdXwtxLA/viewform?usp=sf_link.  
There is no limit on the number of virtual participants.  
February 16, 2024 
The Somalia Round 1 draft closed on February 16, 2024.</t>
  </si>
  <si>
    <t>Process Systems, Reaction Engineering, and Molecular Thermodynamics</t>
  </si>
  <si>
    <t>TheProcess Systems, Reaction Engineering, and Molecular Thermodynamicsprogram is part of the Chemical Process Systems cluster, which also includes: 1) theCatalysisprogram; 2) theElectrochemical Systemsprogram; and 3) theInterfacial Engineeringprogram.
_x000D_
The goal of theProcess Systems, Reaction Engineering, and Molecular Thermodynamicsprogram is to advance fundamental engineering research on the rates and mechanisms of chemical reactions, systems engineering, and molecular thermodynamics as they relate to the design and optimization of chemical reactors and the production of specialized materials that have important impacts on society.
_x000D_
The program supports the development of advanced optimization and control algorithms for chemical processes, molecular and multi-scale modeling of complex chemical systems, fundamental studies on molecular thermodynamics, and the integration of these methods and concepts into the design of novel chemical products and manufacturing processes. This program supports sustainable chemical manufacturing research on the development of energy-efficientchemical processes and environmentally-friendly chemical products through concurrent chemical product/process design methods.Sustainability is also enhanced by research that promotes the electrification of the chemical process industries over current thermally-activated processes.
_x000D_
Proposals should focus on:
_x000D_
_x000D_
Chemical reaction engineering: This area encompasses the interaction of transport phenomena and kinetics in reactive systems and the use of this knowledge in the design of chemical reactors.Research areas include(1) development of novel reactor designs, such as catalytic and membrane reactors, micro-reactors, chemical vapor and atomic layer deposition systems, (2) studies of reactions in supercritical fluids, (3) novel reaction activation techniques such as atmospheric pressure plasmas (which may be submitted under the ECLIPSE meta-program) and microwave radiation, (4) design of multifunctional and intensified systems, such as chemical-factory/lab-on-a-chip concepts, (5) nanoparticle nucleation, growth, and surface functionalization, and (6) biomass conversion to fuels and chemicals.The program also supports new approaches that enable the design of modular chemical manufacturing systems such as distributed hydrogen and ammonia production processes._x000D_
Process design, optimization, and control: This area encompasses process systems science, including the development of process modeling, design, control and optimization theory and algorithms; process development proposals are not appropriate for this program.High-priority research topics include process intensification, modular process systems, smart manufacturing, large-scale carbon dioxide capture and conversion, computational tools (including those based on quantum computing methods) enabling advanced chemical manufacturing, real-time optimization and control of large-scale chemical systems with quantitative sustainability metrics, machine learning, and optimization of enterprise-wide processes involving planning, scheduling, and real-time control to create resilient supply chains._x000D_
Reactive polymer processing: Program scope in this area is limited to research that integrates synthesis and processing to engineer specific nanoscale structures and compositions to tune the macroscopic scale properties of polymers, such as their ability to biodegrade or to be recycled. The focus is on reactive processes that address these environmental concerns while producing tailor-made macromolecular materials._x000D_
Molecular thermodynamics: This area focuses on fundamental research that combines principles of classical thermodynamics, statistical mechanics, and atomistic-scale simulations to improve chemical processing and to facilitate synthesis of novel functional materials such as catalysts, polymers, solvents, and colloids. Topics include fundamental studies on self- and directed-assembly of nanoscale-level patterned polymer films, machine-learning methods to predict structure-property relationships, large-ensemble molecular dynamics simulations, simulation of peptide self-assembly and protein interactions, and behavior of multiphase and reactive systems under nanoscale confinement. The ultimate goal of research supported by this program is to enable the development of more efficient chemical processes, improve environmental sustainability and water quality, and design functional materials with tailored properties._x000D_
_x000D_
Innovative proposals outside of these specific interest areas may be considered.However, prior to submission, it is recommended that the Principal Investigator contact the program director to avoid the possibility of the proposal being returned without review. Hypothesis-driven research plans are encouraged.
_x000D_
INFORMATION COMMON TO MOST CBET PROGRAMS
_x000D_
Proposals should address the novelty and/or potentially transformative nature 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and Award Policies and Procedures Guide (PAPPG)will be returned without review.</t>
  </si>
  <si>
    <t>Cellular and Biochemical Engineering</t>
  </si>
  <si>
    <t xml:space="preserve">Synopsis
_x000D_
TheCellular and Biochemical Engineering(CBE)program is part of theEngineering Biology and Healthcluster, which also includes: 1) theBiophotonicsprogram; 2) theBiosensingprogram; 3) theDisability and Rehabilitation Engineeringprogram; and 4) theEngineering of Biomedical Systemsprogram.
_x000D_
TheCellular and Biochemical Engineeringprogram supports fundamental engineering research that advances understanding of cellular andbiomolecular processes. CBE-funded research may lead to the development of enabling technology for advanced biomanufacturing of therapeutic cells, biochemicals, and biopharmaceuticals, and for otherbiotechnology industrie.
_x000D_
The program encourages highly innovative and potentially transformative engineering research leading to novel bioprocessing and biomanufacturing approaches. Fundamental to many CBE research projects is the understanding of how biomolecules, subcellular systems, cells, and cell populations interact, and how those interactions lead to changes in structure, function, and behavior. A quantitative treatment of problems related to biological processes is considered vital to successful research projects in the CBE program.
_x000D_
Major areas of interest for the program include:
_x000D_
_x000D_
Metabolic engineering and synthetic biology for biomanufacturing,_x000D_
The design of synthetic metabolic components and synthetic cells,_x000D_
Microbiome structure, function, maintenance, and design,_x000D_
Protein and enzyme engineering, and_x000D_
Design of integrated chemoenzymatic systems._x000D_
_x000D_
The CBE program also encourages proposals that effectively integrate knowledge and practices from different disciplines while incorporating ongoing research into educational activities.
_x000D_
All proposals should include a description on the potential impact of proposed research on an associated biomanufacturing process.
_x000D_
Proposals whose core innovation involves tissue engineering, organ culture, development of models of healthy or diseased physiology, or design and application of technologies focused on the diagnosis or treatment of disease should be submitted to theEngineering ofBiomedicalSystemsprogram(CBET 5345).
_x000D_
_x000D_
_x000D_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Principal Investigators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
_x000D_
_x000D_
_x000D_
</t>
  </si>
  <si>
    <t>Disability and Rehabilitation Engineering</t>
  </si>
  <si>
    <t>The Disability and Rehabilitation Engineering program is part of the Engineering Biology and Health cluster, which also includes: 1) the Biophotonics program; 2) the Biosensing program; 3) the Cellular and Biochemical Engineering program; and 4) the Engineering of Biomedical Systems program.
_x000D_
The Disability and Rehabilitation Engineering program supports fundamental engineering research that will improve the quality of life of persons with disabilities through the development of new theories, methodologies, technologies, or devices. Disabilities could be developmental, cognitive, hearing, mobility, visual, selfcare, independent living, or other. Proposed projects must advance knowledge regarding a specific human disability or pathological motion or understanding of injury mechanisms.
_x000D_
Research may be supported that is directed toward the characterization, restoration, rehabilitation, and/or substitution of human functional ability or cognition, or to the interaction between persons with disabilities and their environment. Areas of particular interest are neuroengineering, rehabilitation robotics, brain-inspired assistive or rehabilitative systems, theoretical or computational methods, and novel models of functional recovery including the development and application of artificial physiological systems.
_x000D_
Emphasis is placed on significant advancement of fundamental engineering knowledge that facilitates transformative outcomes. The DARE Program encourages high-risk/high-reward proposals that surpass incremental technological improvements. The DARE Program also encourages participatory design and the inclusion of trainees with disabilities as part of the proposed research or broader impacts.
_x000D_
Innovative proposals outside of the above specific interest areas may be considered. However, prior to submission, it is recommended that the PI contact the Program Director to avoid the possibility of the proposal being returned without review.
_x000D_
NSF does not support clinical trials; however, feasibility studies involving human volunteers may be supported if appropriate to the project objectives. The development and application of artificial physiological systems that do not model functional recovery and instead improve fundamental understanding of physiological and pathophysiological processes would be appropriate for EBMS.
_x000D_
Furthermore, the DARE program does not support proposals having as their central theme commercialization of a product. Small businesses seeking early stage R D funding for product development are encouraged to contact the NSF SBIR/STTR program in the America's Seed Fund within the Directorate for Technology, Innovation and Partnerships (TIP).
_x000D_
INFORMATION COMMON TO MOST CBET PROGRAMS
_x000D_
Proposals should address the novelty and/or potentially transformative nature 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 (awards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 (CAREER) program proposals are strongly encouraged. Award duration is five years. 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 Facilitation Awards For Scientists And Engineers With Disabilities (FASED), EArly-concept Grants for Exploratory Research (EAGER), and Rapid Response Research (RAPID) are also considered when appropriate. Please note that proposals of these types must be discussed with the program director before submission. Grant Opportunities for Academic Liaison with Industry (GOALI) proposals that integrate fundamental research with translational results and are consistent with the application areas of interest to each program are also encouraged. Please note that FASED, EAGER, RAPID, and GOALI proposals can be submitted anytime during the year. Details about FASED, EAGER, RAPID, and GOALI are available in the Proposal   Award Policies   Procedures Guide (PAPPG), Part 1, Chapter II, Section E: Types of Proposals.
_x000D_
Compliance: Proposals that are not compliant with the Proposal   Award Policies   Procedures Guide (PAPPG) will be returned without review.</t>
  </si>
  <si>
    <t>Engineering of Biomedical Systems</t>
  </si>
  <si>
    <t>TheEngineering of Biomedical Systemsprogram is part of the Engineering Biology and Health cluster, which also includes: 1) theBiophotonicsprogram; 2) theBiosensingprogram; 3) theCellular and Biochemical Engineeringprogram; and 4) theDisability and Rehabilitation Engineeringprogram.
_x000D_
The goal of theEngineering of Biomedical Systems(EBMS) program is to provide opportunities for fundamental and transformative research projects that integrate engineering and life sciences to solve biomedical problems and serve humanity in the long term. Projects are expected to use an engineering framework (for example, design or modeling) that supports increased understanding of physiological or pathophysiological processes. Projects must include objectives that advance both engineering and biomedical sciences.
_x000D_
Projects may include: methods, models, and enabling tools applied to understand or control living systems; fundamental improvements in deriving information from cells, tissues, organs, and organ systems; or new approaches to the design of systems that include both living and non-living components for eventual medical use in the long term.
_x000D_
TheEBMS programsupports fundamental and transformative research in the following areas of biomedical engineering:
_x000D_
_x000D_
Developmentof validated models (living or computational) of healthy and pathological tissues and organ systems that can support improved fundamental understanding of these systems or that could be applied in the future for development and testing of medical interventions;_x000D_
Designand validation of systems that integrate living and non-living componentsfor improved understanding of physiology that could be applied in the future for diagnosis, monitoring, and treatment ofdisease or injury;_x000D_
Design and subsequent application of technologies andtools toinvestigate fundamental physiological and pathophysiological processes;_x000D_
Advancedbiomanufacturing of three-dimensional tissues and organs; and_x000D_
Application of engineering tools and principles, including mathematical modeling, to quantitatively study the immune system in health and disease and to develop techniques for controlling and modulating a host s immune response to challenges such as infectious diseases, cancer, implants, autoimmune disorders, wounds, etc._x000D_
_x000D_
The long-term impact of the projects can be related to effective disease diagnosis and/or treatment, or improved health care delivery. However, immediate goals should focus on improved fundamental understanding of cell and tissue function in normal or pathological conditions and advancing biomedical engineering.
_x000D_
Innovative proposals outside of these specific areas of biomedical engineering may be considered.However, prior to submission, it is strongly recommended that the PIs contact the program director to avoid the possibility of the proposal being returned without review. Related programs also fund biomedical engineering research, and PIs are encouraged to examine these to find the appropriate program for submission.
_x000D_
The EBMS program does not support proposals having as their central theme drug design and delivery, the development of biomedical devices that do not include a living biological component, or thedevelopment of animal models of disease.For consideration by the EBMS program, proposals that advance the design of tools or technologies should also apply those technologies to advance knowledge in biomedical science. NSF does not support clinical trials; however, feasibility studies involving human volunteers may be supported if appropriate to the project objectives.
_x000D_
Projects with a central focus on design or optimization of a device, material, algorithm, or process alone without exploring new fundamental biomedical science are not appropriate for the EBMS program. Furthermore, although research on biomaterials, cellular biomechanics, manufacturing systems, or algorithm/device design may constitute a part of the proposed studies, such research can be more appropriately targeted to other NSF programs:
_x000D_
_x000D_
Projects that aim to improve protein engineering or cellular biomanufacturing - either manufacturing cells or cell-derived products - should consider the Cellular and Biochemical Engineering (CBE) program._x000D_
Projects that focus on the development and application of microphysiological systems that model functional recovery related to a specific human disability or injury mechanism should consider the Disability and Rehabilitation Engineering (DARE) program._x000D_
Biomaterials-focused projects should consider the Biomaterials (BMAT) program in the Division of Materials Research (DMR)._x000D_
Cellular and tissue biomechanics projects should consider the Biomechanics and Mechanobiology (BMMB) program in the Division of Civil, Mechanical, and Manufacturing Innovation (CMMI)._x000D_
Manufacturing systems proposals should consider the Advanced Manufacturing(AM) program in the Division of Civil, Mechanical, and Manufacturing Innovation (CMMI)._x000D_
Innovative research on signal processing techniques or dynamic biosensing systems should consider the Communications, Circuits, and Sensing-Systems (CCSS) program in the Division of Electrical, Communications and Cyber Systems (ECCS)._x000D_
Innovative research on novel devices based on the principles of electronics, optics and photonics, optoelectronics, magnetics, opto- and electromechanics, electromagnetics, and related physical phenomena, also including material-device interaction, should consider the Electronics, Photonics and Magnetic Devices (EPMD) Program in the Division of Electrical, Communications and Cyber Systems (ECCS)._x000D_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of success in the research on society and/or industry.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</si>
  <si>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Human Networks and Data Science</t>
  </si>
  <si>
    <t>The Human Networks and Data Science program (HNDS) supports research that enhances understanding of human behavior by leveraging data and network science research across a broad range of topics. HNDS research will identify ways in which dynamic, distributed, or heterogeneous data can provide novel answers to fundamental questions about individual or group behavior. HNDS is especially interested in proposals that provide data-rich insights about human networks to support improved health, prosperity, and security.
HNDS has two tracks:
(1) Human Networks and Data Science   Infrastructure (HNDS-I). Infrastructure proposals will address the development of data resources and relevant analytic techniques that support fundamental Social, Behavioral and Economic (SBE) research. Successful infrastructure proposals will construct, within the financial resources provided by the award, databases or relevant analytic techniques and produce a finished product that will enable previously impossible data-intensive research in the social sciences. The databases or techniques should have significant impacts, either across multiple fields or within broad disciplinary areas, by making possible new types of data-intensive research in the SBE sciences.
(2) Human Networks and Data Science   Core Research (HNDS-R). Core research proposals will advance theory in a core SBE discipline by the application of data and network science methods. This includes the leveraging of large data sets with diverse spatio-temporal scales of measurement and linked qualitative and quantitative approaches, as well as multi-scale, multi-level network data and techniques of network analysis. Supported projects are expected to yield results that will enhance, expand, and transform theory and methods, and that generate novel understandings of human behavior   particularly understandings that can lead to significant societal benefits or opportunities. HNDS-R encourages core research proposals that make innovative use of NSF-supported data networks, databases, centers and other forms of scientific infrastructure including those developed by HNDS-I (formerly RIDIR) projects.</t>
  </si>
  <si>
    <t>Energy, Power, Control, and Networks</t>
  </si>
  <si>
    <t xml:space="preserve">The Energy, Power, Control, andNetworks (EPCN) Program supports innovative research in modeling, optimization, learning, adaptation, and control of networked multi-agent systems, higher-level decision making, and dynamic resource allocation, as well as risk management in the presence of uncertainty, sub-system failures, and stochastic disturbances. EPCN also invests in novel machine learning algorithms and analysis, adaptive dynamic programming, brain-like networked architectures performing real-time learning, and neuromorphic engineering. EPCN s goal is to encourage research on emerging technologies and applications including energy, transportation, robotics, and biomedical devices   systems. EPCN also emphasizes electric power systems, including generation, transmission, storage, and integration of renewable energy sources into the grid; power electronics and drives; battery management systems; hybrid and electric vehicles; and understanding of the interplay of power systems with associated regulatory   economic structures and with consumer behavior.
_x000D_
Areas managed by Program Directors (please contact Program Directors listed in the EPCN staff directory for areas of interest):
_x000D_
Control Systems
_x000D_
_x000D_
Distributed Control and Optimization_x000D_
Networked Multi-Agent Systems_x000D_
Stochastic, Hybrid, Nonlinear Systems_x000D_
Dynamic Data-Enabled Learning, Decision and Control_x000D_
Cyber-Physical Control Systems_x000D_
Applications (Biomedical, Transportation, Robotics)_x000D_
_x000D_
Energy and Power Systems
_x000D_
_x000D_
Solar, Wind, and Storage Devices Integration with the Grid_x000D_
Monitoring, Protection and Resilient Operation of Grid_x000D_
Power Grid Cybersecurity_x000D_
Market design, Consumer Behavior, Regulatory Policy_x000D_
Microgrids_x000D_
Energy Efficient Buildings and Communities_x000D_
_x000D_
Power Electronics Systems
_x000D_
_x000D_
Advanced Power Electronics and Electric Machines_x000D_
Electric and Hybrid Electric Vehicles_x000D_
Energy Harvesting, Storage Devices and Systems_x000D_
Innovative Grid-tied Power Electronic Converters_x000D_
_x000D_
Learning and Adaptive Systems 
_x000D_
_x000D_
Neural Networks_x000D_
Neuromorphic Engineering Systems_x000D_
Data analytics and Intelligent Systems_x000D_
Machine Learning Algorithms, Analysis and Applications_x000D_
</t>
  </si>
  <si>
    <t>Economics</t>
  </si>
  <si>
    <t>The Economics program supports research designed to improve the understanding of the processes and institutions of the U.S. economy and of the world system of which it is a part. This program also strengthens both empirical and theoretical economic analysis as well as the methods for rigorous research on economic behavior. It supports research in almost every area of economics, including econometrics, economic history, environmental economics, finance, industrial organization, international economics, labor economics, macroeconomics, mathematical economics, and public finance.
The Economics program welcomes proposals for individual or multi-investigator research projects, doctoral dissertation improvement awards, conferences, symposia, experimental research, data collection and dissemination, computer equipment and other instrumentation, and research experience for undergraduates. The program places a high priority on interdisciplinary research. Investigators are encouraged to submit proposals of joint interest to the Economics Program and other NSF programs and NSF initiative areas. The program places a high priority on broadening participation and encourages proposals from junior faculty, women, other underrepresented minorities, Research Undergraduate Institutions, and EPSCoR states.
The program also funds conferences and interdisciplinary research that strengthens links among economics and the other social and behavioral sciences as well as mathematics and statistics.
The Doctoral Dissertation Research Improvement Grants (DDRIG) funding opportunity is designed to improve the quality of dissertation research.DDRIG proposals are submitted by a faculty member on behalf of the graduate student. DDRIG awards provide funds for items not normally available through the student's university such as enabling doctoral students to undertake significant data-gathering projects and to conduct field research in settings away from their campus. DDRIGs do not provide cost-of-living or other stipends or tuition.Outstanding DDRIG proposals specify how the knowledge to be created advances economics science.
Proposals for Doctoral Dissertation Research Improvement Grants (DDRIGS) in Economics should follow the directions for submissions in the PAPPG. Please contact an Economics program officer if you plan to submit a DDRIG proposal.
For additional funding opportunities, we invite you to also look at theSBE Office of Multidisciplinary Activities web site.</t>
  </si>
  <si>
    <t>Decision, Risk and Management Sciences</t>
  </si>
  <si>
    <t>The Decision, Risk and Management Sciences Program (DRMS) supports scientific research directed at increasing understanding and effectiveness of decision making by individuals, groups, organizations and society. DRMS supports research with solid foundations in theories and methods of the social and behavioral sciences. This social and behavioral science research should advance knowledge, address fundamental scientific and societal issues and have strong broader impacts. DRMS funds disciplinary and interdisciplinary research, doctoral dissertation research improvement grants (DDRIGs) and conferences in the following areas: judgment and decision making; decision analysis and decision aids; risk analysis, perception and communication; societal and public-policy decision making; management science and organizational design. The program supports the use of the RAPID funding mechanism for research that involves ephemeral data, typically tied to disasters or other unanticipated events. Much less frequently, the program also supports highly unusual, proof-of-concept, high-risk projects that are potentially transformational (Early Concept Grants for Exploratory Research   EAGER). For detailed information concerning RAPID and EAGER grants, please review Chapter II.E of theNSF PAPPG. All research must be grounded in theory and generalizable. Purely algorithmic management-science proposals should be submitted to theOperations Engineering (OE)Program rather than to DRMS.
Decision, Risk and Management Sciences offers Doctoral Dissertation Research Improvement Grants (DDRIGs) to improve the quality of dissertation research.For detailed guidelines on preparing a DDRIG proposal, consult the separateDRMS-DDRIG solicitation.</t>
  </si>
  <si>
    <t>Research on Bioethical Issues Related to Bionic and Robotic Device Development and Translation (R21 Clinical Trial Optional)</t>
  </si>
  <si>
    <t>Native American tribal governments (Federally recognized)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apply.Non-domestic (non-U.S.) components of U.S. Organizations are eligible to apply.Foreign components, as defined in the NIH Grants Policy Statement, are allowed.</t>
  </si>
  <si>
    <t>Ethical considerations are intrinsic to the conduct of robotic and bionic device research. This Notice of Funding Opportunity (NOFO) invites applications that propose research on ethical questions associated with all stages of the design, testing, and/or implementation of bionic and robotic devices.</t>
  </si>
  <si>
    <t>USAID Climate Resilient Agriculture in the Mekong Delta</t>
  </si>
  <si>
    <t>USAID-VIE</t>
  </si>
  <si>
    <t>USAID-VIETNAM</t>
  </si>
  <si>
    <t>The United States Agency for International Development in Vietnam (USAID/Vietnam) is seeking applications from qualified entities to implement the USAID Climate Resilient Agriculture in the Mekong Delta. The goal of the Activity is to advance low-emissions, climate-resilient agricultural livelihoods combined with biodiversity conservation to support carbon sequestration, healthy ecosystems, and resilience of vulnerable communities in the Mekong Delta.</t>
  </si>
  <si>
    <t>FY 2023 Disaster Supplemental</t>
  </si>
  <si>
    <t>DOC-EDA</t>
  </si>
  <si>
    <t>Economic Development Administration</t>
  </si>
  <si>
    <t>Public and State controlled institutions of higher education District Organization; Indian Tribe or a consortium of Indian Tribes; State, county, city, or other political subdivision of a State, including a special purpose unit of a State or local government engaged in economic or infrastructure development activities, or a consortium of political subdivisions; Institution of higher education or a consortium of institutions of higher education; or Public or private non-profit organization or association acting in cooperation with officials of a political subdivision of a State. The project of an eligible applicant must be able to meet area eligibility requirements to be considered for funding under this Disaster Supplemental NOFO. Such eligibility is predicated upon the project being located in or primarily serving one or more communities impacted by Hurricanes Ian and Fiona, and of wildfires, flooding, and other natural disasters occurring in calendar years 2021 and 2022. More specifically, consistent with 13 C.F.R. parts 301 and 307, EDA will determine area eligibility pursuant to the applicable Federal disaster declaration under the Stafford Act, and the Federal Emergency Management Agency (FEMA) designation of areas as eligible for public assistance or individual assistance due to the declared disasters listed on FEMA s website (www.fema.gov/disaster/). For construction projects (including design and engineering), the project must be located within an eligible county. For non-construction projects, the project s scope of work must primarily benefit eligible counties, and stakeholders representing those eligible counties must be directly engaged in the project.</t>
  </si>
  <si>
    <t xml:space="preserve">Subject to the availability of funds, awards made under this NOFO will help communities and regions devise and implement long-term economic recovery strategies through a variety of non-construction and construction projects, as appropriate, to address economic challenges in areas where a Presidential declaration of a major disaster was issued under the Robert T. Stafford Disaster Relief and Emergency Assistance Act (42 U.S.C. Â§ 5121 et seq.) (Stafford Act) â€œas a result of Hurricanes Ian and Fiona, and of wildfires, flooding, and other natural disasters occurring in calendar years 2021 and 2022â€¦.â€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Starting April 6, 2023, applications will no longer be accepted on Grants.gov, and will ONLY be accepted through EDGE (sfgrants.eda.gov). To apply for the FY 2023 Disaster Supplemental NOFO, please access the portal here. More information on how to apply is provided in the full NOFO. </t>
  </si>
  <si>
    <t>Infrastructure Capacity for Biological Research</t>
  </si>
  <si>
    <t>The Infrastructure Capacity for Biological Research (Capacity) Program supports the implementation of, scaling of, or major improvements to research tools, products, and services that advance contemporary biology in any research area supported by the Directorate forBiological Sciences at NSF. The Capacity Program focuses on building capacity in research infrastructure that is broadly applicable to a wide range of researchers in three programmatic areas: Cyberinfrastructure, Biological Collections, and Biological Field Stations and Marine Laboratories. This program will also accept proposals for planning activities or workshops to facilitate coordination that may be necessary in building capacity in infrastructure that meets the needs of a research community. Areas not included in this program are instrumentation (PIs should submit to the MRI program) and, projects that develop infrastructure for a specific research project, laboratory, or institution (PIs should submitted to the relevant BIO programs that would normally support that research). Projects are expected to produce quality products, result in important science outcomes that will be achieved by the users of the resource, be openly accessible to a broad scientific and education community, and serve a community of researchers beyond a single research team.</t>
  </si>
  <si>
    <t>Infrastructure Innovation for Biological Research</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</si>
  <si>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There are no restrictions or limits.</t>
  </si>
  <si>
    <t>The Infrastructure Innovation for Biological Research Program (Innovation) supports research to design novel or greatly improved research tools and methods that advance contemporary biology in any research area supported by the Directorate forBiological Sciences at NSF. The Innovation Program focuses on research infrastructure that is broadly applicable to researchers in three programmatic areas: Bioinformatics, Instrumentation, and Research Methods. Infrastructure supported by this program is expected to advance biological understanding by improving scientists  abilities to manipulate, control, analyze, or measure critical aspects of biological systems, which can be essential for addressing important fundamental research questions. Proposals submitted to these programmatic areas can do one of three things to advance or transform research in biology: develop novel infrastructure, significantly redesign existing infrastructure, or adapt existing infrastructure in novel ways. Projects are expected to have a significant application to one or more biological science questions and have the potential to be used by a community of researchers beyond a single research team.
_x000D_
Please refer to the descriptions of individual programmatic areas for detailed guidance on what is supported through this solicitation (see links below).</t>
  </si>
  <si>
    <t>Combustion and Fire Systems</t>
  </si>
  <si>
    <t>TheCombustion and Fire Systemsprogram is part of the Transport Phenomena cluster, which also includes 1) theFluid Dynamicsprogram; 2) theParticulate and Multiphase Processesprogram; and 3) theThermal Transport Processesprogram.
_x000D_
The goal of theCombustion and Fire Systemsprogram is tocreate new knowledge to support advances in clean energy, climate change mitigation, a cleaner environment and public safety.
_x000D_
The program endeavors to createfundamental scientific knowledge that is needed for safe, clean and useful combustion applications and for mitigating the effects of fire.The program aims to identify and understand the controlling basic principles and to use that knowledge to create predictive capabilities for designing and optimizing practical combustion devices and understanding fire.
_x000D_
Important outcomesfor this program include:
_x000D_
_x000D_
broad-based tools   experimental, theoretical, andcomputational   that can be applied to a variety of problems in combustion technologies and fire;_x000D_
science and technology for clean and efficient generation of power;_x000D_
discoveries that enable clean environments (for example, by reduction in combustion-generated pollutants); and_x000D_
enhanced public safety and climate change mitigation through research on wildland and building fire growth, inhibition, and suppression._x000D_
_x000D_
Research areas of interest for this program include:
_x000D_
_x000D_
Basic combustion science: Combustion of gas, liquid, and solid fuels over abroad range of temperatures, pressures, and compositions; combustion at supercritical conditions; advanced propulsion concepts; flame synthesis ofmaterials; integration of fuel design and combustion; control of reaction pathways; development of chemical kinetics models, analytical and numerical predictive methods, and advanced diagnostic tools._x000D_
Combustionscience related to clean energy: Increasing efficiency and reducing pollution; production and use of renewable and/or carbon-free fuels; biomass pyrolysis, gasification, and oxidation; technologies such as oxy-fuel combustion and chemical looping combustion for carbon capture._x000D_
Fireprevention: Improved understanding of building and wildland fires to prevent their spread, inhibit their growth, and suppress them; prediction and mitigation of fires in the wildland-urban interface._x000D_
Turbulence-chemistry interactions:Fundamental understanding of turbulent flow interactions with finite-rate chemical kinetic pathways at high Reynolds and Karlovitz number conditions, including but not limited to: (1) fundamental experiments to generate physico-chemical data to reduce theuncertainty of combustion chemistry and turbulent combustion models; (2)spatially/temporally well-resolved, multi-scale/multi-physics computations;novel approaches of developing embedded multi-scale direct numericalsimulation (DNS) of complex geometries and data-assimilations forincorporating measured data from the state-of-art in situ diagnostic approaches; (3) other innovative approaches on development and validation of predictive computational methods. NOTE: This is an NSF-AFOSR (Air Force Office of Scientific Research) joint funding area. Proposals will be jointly reviewed by NSF and AFOSR using the NSF merit reviewprocess.Actual funding format and agency split for an award(depending on availabilityof funds) will be determined after the proposal selection process. The AFOSR program that participates in this initiative is the program on Energy, Combustion, and Nonequilibrium Thermodynamics._x000D_
_x000D_
Innovative proposals outside of these specific interest areas may be considered.However, prior to submission, it is recommended that the Principal Investigator contact the program director to avoid the possibility of the proposal being returned without review.
_x000D_
_x000D_
_x000D_
INFORMATION COMMON TO MOST CBET PROGRAMS
_x000D_
_x000D_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 that are not compliant with theProposal   Award Policies   Procedures Guide (PAPPG)will be returned without review.</t>
  </si>
  <si>
    <t>Faculty Development in geoSpace Science</t>
  </si>
  <si>
    <t>Others (see text field entitled "Additional Information on Eligibility" for clarification) *Who May Submit Proposals: Proposals may only be submitted by the following:
  -
Institutions of Higher Education (IHEs) - Two- and four-year IHEs (including community colleges) accredited in, and having a campus located in the United States, acting on behalf of their faculty members. Proposing institutions are those that offer or plan to offerbachelor, masters or doctoral degrees in natural sciences or engineering or related sciences.The institution must be able to grant tenure status to faculty.
_x000D_
* Track 1   Any eligible IHE (as described above) br / * Track 2 - Only minority-serving institutions (MSIs) and emerging research institutions (ERIs) among IHEs as described above.
_x000D_
This solicitation adopts the U.S. Department of Education definition of MSIs to be U.S. IHEs enrolling populations with significant percentages of undergraduate minority students, or that serve certain populations of minority students under various programs created by Congress. These include Historically Black Colleges or Universities (HBCUs), Hispanic-Serving Institutions (HSIs), Tribal Colleges or Universities (TCUs), and Asian American and Native American Pacific Islander-Serving Institutions (AANAPISIs).
_x000D_
For the purposes of this solicitation, ERIs are IHEs that have less than $50,000,000 in annual Federal research expenditures averaged over the previous 5 fiscal years at the time of proposal submission.
_x000D_
 br / Institutions that have previously received an NSF FDSS award are ineligible to submit proposals to this solicitation.
*Who May Serve as PI:
Principal Investigators should be someone at the IHE with the authority to implement the proposed FDSS program and select and hire the new faculty member. These may be, but are not limited to, a dean, provost, director of a university associated research institute, department chairperson, or a senior tenured faculty member.</t>
  </si>
  <si>
    <t>The Geospace Section of the NSF Division of Atmospheric and Geospace Sciences (AGS) offers funding for the creation of new tenure-track faculty positions within the disciplines that comprise the AGS Geospace programs to ensure their vitality at U.S. universities and colleges. The aim of the Faculty Development in geoSpace Science (FDSS) is to integrate topics in geospace science including solar and space physics and space weather research into natural sciences or engineering or related departments at U.S. institutions of higher education (IHE). FDSS also stimulates the development of undergraduate or graduate programs or curricula capable of training the next generation of leaders in geospace science. Geospace science is interdisciplinary in nature and FDSS awardees will be expected to establish partnerships within multiple parts of the IHE. NSF funding will support the salary, benefits and training of the newly recruited tenure-track FDSS faculty member for a duration of up to five years with a total award amount not to exceed $1,500,000.Growing diversity in the geospace science workforce and institutions is a community priority, yet relatively few geospace science research and training opportunities are available at minority-serving institutions (MSIs) and emerging research institutions (ERIs). One of NSF s priorities is to improve representation in the scientific enterprise. FDSS aims to bolster long-term investments in geospace science at a broad range of U.S. IHEs, including MSIs and ERIs. This solicitation offers a track for all qualified U.S. IHEs and additionally, a separate track for proposal submissions from MSIs and ERIs.</t>
  </si>
  <si>
    <t>Nanoscale Interactions</t>
  </si>
  <si>
    <t>TheNanoscale Interactionsprogram is part of theEnvironmental Engineering and Sustainabilitycluster, which also includes: 1) theEnvironmental Engineeringprogram; and 2) theEnvironmental Sustainabilityprogram.
_x000D_
The goal of theNanoscale Interactionsprogram is to support research toadvance fundamental and quantitative understanding of the interactions of nanomaterials and nanosystems with biological andenvironmental media.
_x000D_
Materials of interest include one- to three-dimensional nanostructures, heterogeneous nano-bio hybrid assemblies, dendritic and micelle structures, quantum dots, and other nanoparticles.Such nanomaterials and systems frequently exhibit novel physical, chemical, photonic, electronic, and biological behavior as compared to the bulk scale. Collaborative and interdisciplinary proposals are encouraged.
_x000D_
Research areas supported by the program include:
_x000D_
_x000D_
Characterizationof interactions at the interfacesof nanomaterials and nanosystems,including both simple nanoparticles andcomplex and/or heterogeneouscomposites and nanosystems, with surrounding biological and environmental media;_x000D_
Developmentof predictive toolsbased on the fundamental behavior ofnanostructures to advancecost-effective and environmentally benignprocessing and engineeringsolutions over full-life material cycles;_x000D_
Examinationof the transport, interaction, and impact of nanostructured materials andnanosystems on biological systems and the environment;_x000D_
Simulationsof nanoparticle behavior at interfaces, in conjunction with experimentalcomparisons, and new theories and simulation approaches for determiningthe transport and transformation of nanoparticles in various media; and_x000D_
Investigations of quantum vibronic and spin phenomena with correlations to nano phenomena._x000D_
_x000D_
The Nanoscale Interactions program will support exploratory research projects on nanoscale interactions of quantum effects which explain macroscopic changes and physiological and metabolic processes; investigate quantum vibration and electron spin to elucidate nano phenomena and produce quantitative data and evidence of quantum effects.
_x000D_
Research in these areas will enable the design of nanostructured materials and heterogeneous nanosystems with desired chemical, electronic, photonic, biological, and mechanical properties for optimal and sustainable handling, manufacture, and utilization.
_x000D_
NOTE:Studies that focus on fundamental research concerning atomic- and molecular-scale interfacial phenomena and engineering of interfacial properties, processes, and materials, particularly as relevant towards advancing industrial chemical or biochemical processes, may be more appropriate for theInterfacial Engineeringprogram (CBET 1417). Please consult with program directors prior to submission if you have questions about programmatic fit.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E:Types of Proposals.
_x000D_
Compliance: Proposals that are not compliant with theProposal   Award Policies   Procedures Guide (PAPPG)will be returned without review.</t>
  </si>
  <si>
    <t>Thermal Transport Processes</t>
  </si>
  <si>
    <t>TheThermal Transport Processesprogram is part of the Transport Phenomena cluster, which alsoincludes1) theCombustion and Fire Systemsprogram; 2) theFluid Dynamicsprogram; and 3) theParticulate and Multiphase Processesprogram.
_x000D_
TheThermal Transport Processesprogram supports engineering research projects that lay the foundation for newadvances in thermal transport phenomena. These projects should either develop new fundamental knowledge or combine existing knowledge in thermodynamics, fluid mechanics, and heat and mass transfer to probe new areas of innovation in thermal transport processes. The program seeks transformative projects with the potential for improvingbasic understanding, predictability and application of thermal transport processes. Projects should articulate the contribution(s) to the fundamental knowledge supporting thermal transport processes and state clearly the potential application(s) impact when appropriate.Projects that combine analytical, experimental and numerical efforts, geared toward understanding, modeling and predicting thermal phenomena, are of great interest.Collaborative and interdisciplinary proposals for which the main contribution is in thermal transport fundamentals are also encouraged. Emphasis is placed on research that demonstrates how thermal transport phenomena affect the existence, behavior and dynamics of components and systems.Priority is given to insightful investigations of fundamental problems with clearly defined economic, environmental and societal impacts.
_x000D_
Some specific areas of interest include:
_x000D_
_x000D_
Convection/diffusion/radiation: Heat and mass transport incomplex structures and surfaces;thermal-related turbulence; development of form-functionrelationships in thermal processes; thermal design methodology; phonon transport and interactions between energy carriers; radiationamplification, controlling, and extinction; interfacial gas-solid andliquid-solid thermal and species-driven phenomena._x000D_
Thermodynamics: Thermal-electric energy conversion; battery-related thermal issues; power generation and propulsion; phase-change and supercritical energy cycles;non-equilibriumthermal processes._x000D_
Biologicalheatand mass transport: Biomimicry;intra- andextra-cellular heat and mass transport; freeze resistancemechanisms;thermotherapy and thermoregulation; organ conservation(freezing and thawing); mass transport in biomedical and health systems._x000D_
Nanothermics,microthermics,and mesothermics: Scaling upnanoscale heat transport processes or coupledheat-mass transport processes; utilization ofnew multi-functional, meta- and graded-materials in thermal transport;nano-texturingand phase-change; multi-scale thermal transport in aprocess._x000D_
Thermal solutions to climate change: Decarbonizing industrial processes; novel heating and cooling technologies with minimal greenhouse gas emissions; thermal-driven clean energy concepts; thermal and thermochemical energy storage; waste heat recovery and transmission; thermal science and technology to enable electrification of energy services._x000D_
Thermal science and quantum technology interface: Quantum sensors for thermal measurements;quantum computing for thermal sciences;thermodynamics and novel cryogenic cooling concepts for quantum devices;thermal transport in quantum materials and quantum phenomena; thermal solutions for next-generation qubits, qubit coupling, and quantum information storage._x000D_
New metrology and artificial intelligence (AI)/machinelearning methodologies in thermal sciences: Advanced thermal imagingand measurement techniques for high-resolutionin situthermal imaging and non-invasive temperature measurement; novel AI/machine learning methodologies and other data-intensive approaches that can be coupled with physics-based models and/or experiments to enable new understanding and discoveries in thermal transport processes._x000D_
_x000D_
NOTE: Proposalsincluding chemical kinetics should be submitted to the ENG/CBETCombustion and FireSystemsprogram. Proposals dealing mainly with materials synthesis, processing and characterization should be directed to the ENG/CMMIAdvanced Manufacturingprogram or the Division of Materials Research (DMR) in the Directorate for Mathematical and Physical Sciences (MPS). Proposals at the interface of computational/mathematical sciences and thermal transport are encouraged but should be submitted to theComputational and Data-Enabled Science   Engineering(CDS E) program.
_x000D_
Proposals seeking the utilization of the International Space Station U.S. National Laboratory should follow the instructions in the NSF/CASIS solicitations (e.g., NSF 22-539). Proposals related to the Air Force Office of Scientific Research (AFOSR) general area of thermal transport properties of novel materials and heterostructures should be submitted as regular proposals to theThermal Transport Processesprogram. Those proposals may be jointly reviewed by NSF and AFOSR using the NSF merit review process. Actual funding format and agency split for an award (depending on availability of funds) will be determined after the proposal selection process. Proposals related to the Department of Energy (DOE) general area of thermal and thermochemical energy storage materials and processes should be submitted as regular proposals to theThermal Transport Processesprogram. In these cases, the PI should contact the program director to confirm suitability of the topic prior to submitting the proposal. Innovative proposals outside of these specific interest areas may be considered.However, prior to submission, it is recommended that the PI contact the program director to avoid the possibility of the proposal being returned without review.
_x000D_
Innovativeproposals outside of these specific interest areas may be considered.However,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 that are not compliant with theProposal   Award Policies   Procedures Guide (PAPPG)will be returned without review.</t>
  </si>
  <si>
    <t>Particulate and Multiphase Processes</t>
  </si>
  <si>
    <t>TheParticulate and Multiphase Processesprogram is part of the Transport Phenomena cluster, which also includes 1) theCombustion and Fire Systemsprogram; 2) theFluid Dynamicsprogram; and 3) theThermal Transport Processesprogram.
_x000D_
Thegoal of theParticulate and Multiphase Processesprogram is to support fundamental research on physico-chemical phenomena that govern particulate and multiphase systems, including flow of suspensions, drops and bubbles, granular and granular-fluid flows, behavior of micro- and nanostructured fluids, unique characteristics of active fluids, and self assembly/directed-assembly processes that involve particulates.The program encourages transformative research to improve our basic understanding of particulate and multiphase processes with emphasis on research that demonstrates how particle-scale phenomena affect the behavior and dynamics of larger-scale systems.Although proposed research should focus on fundamentals, a clear vision is required that anticipates how results could benefit important applications in advanced manufacturing, energy harvesting, transport in biological systems, biotechnology, or environmental sustainability.Collaborative and interdisciplinary proposals are encouraged, especially those that involve a combination of experiment with theory and/or modeling.
_x000D_
Major research areas of interest in the program include:
_x000D_
_x000D_
Multiphase flow phenomena:Dynamics ofparticle/bubble/droplet systems,behavior of structured fluids (colloids/ferro-fluids), granular flows, rheology of multiphase systems, unique characteristics of active fluids in novel applications, and newl approaches that relate micro- and nanoscale phenomena to macroscale properties and process-levelvariables._x000D_
Particlescience and technology:Aerosols, production of particles andpolymer-particle complexes with engineered properties, self-assembly,directed assembly, and template-directed assembly of particles into functional materials and devices._x000D_
Multiphase transport in biological systems:Analysis of physiological processes, applications of functionalized nanostructures in clinical diagnostics andtherapeutics._x000D_
Interfacial transport:Dynamics of particles and macromolecules at interfaces, kinetics of adsorption and desorption of nanoparticles and surfactants and their spatial distributions at interfaces, complex molecular interactions at interfaces, formation of interfacial complexes that affect the dynamics of particles._x000D_
_x000D_
NOTE: Proposals that explore fluid-structure interactions involving electrodes in engineering applications such as energy storage should be directed to ENG/CBETElectrochemical Systemsprogram.Proposals that involve drops or bubbles bouncing off solid surfaces should be directed toward ENG/CBETFluid Dynamicsprogram. Proposals that deal with engineered surfaces forcarrying out chemical or biochemical reactions or separations should be directed to ENG/CBETInterfacial Engineeringprogram.Proposals dealing mainly with particle synthesis may be more suitable forthe ENG/CMMIAdvanced Manufacturingprogram or the Division of Materials Research (DMR) in the Mathematical and Physical Sciences (MPS) Directorate.
_x000D_
Innovative proposals outside of these specific interest areas may be considered; however, prior to submission, it is recommended that the PI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Proposalsthat are not compliant with theProposal   Award Policies   Procedures Guide (PAPPG)will be returned without review.</t>
  </si>
  <si>
    <t>Interfacial Engineering</t>
  </si>
  <si>
    <t>The Interfacial Engineering program is part of the Chemical Process Systems cluster, which also includes: 1) the Catalysis program; 2) the Electrochemical Systems program; and 3) the Process Systems, Reaction Engineering, and Molecular Thermodynamics program.
_x000D_
The goal of the Interfacial Engineering program is to support fundamental research on atomic- and molecular-scale interfacial phenomena and engineering of interfacial properties, processes, and materials. Fundamental understanding of the thermodynamic, kinetic, and transport properties of interfacial systems underpins improvements in chemical process efficiency and resource utilization. As such, proposed research should have a clear vision for how the results will translate to practice in or otherwise advance industrial chemical or biochemical processes. The program encourages proposals that present new approaches to long-standing challenges or address emerging research areas and technologies. Collaborative and interdisciplinary proposals are also encouraged, particularly those that involve a combination of experiment with theory or modeling.
_x000D_
Major research areas of interest in the program include:
_x000D_
_x000D_
Chemical separations: Design of scalable mass separating agents (for example, sorbents and membranes); field-induced separation processes that target a significant reduction in energy and/or materials requirements_x000D_
Biological separations: Downstream processing of biologically-derived chemicals, therapeutic proteins, and biologics for increased throughput and purity; engineering interfaces for molecular recognition_x000D_
Interfacial phenomena at engineered interfaces and surfaces: Kinetics and thermodynamics of adsorption/desorption and complex interactions of molecules and ions at engineered interfaces and surfaces within chemical process systems_x000D_
Nanoconfinement and engineered surfaces: Theory, modeling, and/or approaches for examining transport and thermodynamic properties of fluids within nanopores, under nanoconfinement, or at highly engineered surfaces within chemical process systems_x000D_
_x000D_
NOTE: Studies that examine chemical reaction and transport phenomena related to electrochemical system performance, including batteries, fuel cells, flow batteries, electrochemical conversions, and related components, should be directed to the Electrochemical Systems program (CBET 7644). Studies that focus on interactions of nanomaterials and nanosystems, particularly as relevant to environmental or biological applications, may be more appropriate for the Nanoscale Interactions program (CBET 1179). Studies of how interfacial dynamics affect transport or bulk properties of multiphase systems may be more appropriate for the Particulate and Multiphase Processes program (CBET 1415). Please consult with program directors prior to submission if you have questions about programmatic fit.
_x000D_
Innovative proposals outside of these specific interest areas may be considered. The Principal Investigator is encouraged contact the Program Director prior to submission to avoid the possibility of the proposal being returned without review.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_x000D_
COMPLIANCE: Proposals which are not compliant with theProposal   Award Policies   Procedures Guide (PAPPG)will be returned without review</t>
  </si>
  <si>
    <t>Biophotonics</t>
  </si>
  <si>
    <t>TheBiophotonicsprogram is part of the Engineering Biology and Health cluster, which also includes: 1) theBiosensingprogram; 2) theCellular and Biochemical Engineeringprogram; 3) theDisability and Rehabilitation Engineeringprogram; and 4) theEngineering of Biomedical Systemsprogram.
_x000D_
The goal of theBiophotonicsprogram is to explore the research frontiers in photonics principles, engineering and technology that are relevant for critical problems in fields of medicine, biology and biotechnology. Fundamental engineering research and innovation in photonics is required to lay the foundations for new technologies beyond those that are mature and ready for application in medical diagnostics and therapies. Advances are needed in nanophotonics, optogenetics, contrast and targeting agents, ultra-thin probes, wide field imaging, and rapid biomarker screening. Low cost and minimally invasive medical diagnostics and therapies are key motivating application goals.
_x000D_
Research topics in this program include:
_x000D_
_x000D_
Imaging in the second near infrared window:Research that advances medical applications of biophotonics in the second near-infrared window (NIR-II: 1,000-1,700 nm) in which biological tissues are transparent up to several centimeters in depth, making this spectral window ideal for deep tissue imaging._x000D_
Macromolecule markers: Innovative methods for labeling of macromolecules. Novel compositions of matter. Methods of fabrication of multicolor probes that could be used for marking and detection of specific pathological cells.Pushing the envelope of optical sensing to the limits of detection, resolution, and identification._x000D_
Low coherence sensing at the nanoscale: Low coherence enhanced backscattering (LEBS). N-dimensional elastic light scattering.Angle-resolved low coherence interferometry for early cancer detection (dysplasia)._x000D_
Neurophotonics:Studies of photon activation of neurons at the interface of nanomaterials attached to cells. Development and application of biocompatible photonic tools such as parallel interfaces and interconnects for communicating and control of neural networks._x000D_
Microphotonics and nanophotonics:Development and application of novel nanoparticle fluorescent quantum-dots. Sensitive, multiplexed, high-throughput characterization of macromolecular properties of cells.Nanomaterials and nanodevices for biomedicine._x000D_
Optogenetics: Novel research in employing light-activated channels and enzymes for manipulation of neural activity with temporal precision. Utilizing nanophotonics, nanofibers, and genetic techniques for mapping and studying in real-time physiological processes in organs such as the brain and heart._x000D_
_x000D_
Innovative proposals outside of these specific interest areas may be considered. However, prior to submission, it is recommended that the Principal Investigator contact the program director to avoid the possibility of the proposal being returned without review.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</si>
  <si>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Environmental Sustainability</t>
  </si>
  <si>
    <t>TheEnvironmental Sustainability program is part of theEnvironmental Engineering and Sustainabilitycluster together with 1) theEnvironmental Engineeringprogram and 2) theNanoscale Interactionsprogram.
_x000D_
The goal of theEnvironmental Sustainabilityprogram is to promote sustainable engineered systems that support human well-being and that are also compatible with sustaining natural (environmental) systems. These systems provide ecological services vital for human survival. Research efforts supported by the program typically consider long time horizons and may incorporate contributions from the social sciences and ethics. The program supports engineering research that seeks to balance society's need to provide ecological protection and maintain stable economic conditions.
_x000D_
There are five principal general research areas that are supported.
_x000D_
_x000D_
Circular Bioeconomy Engineering:This area includes research that enables sustainable societal use of food, energy, water, nitrogen, phosphorus, and materials, with the reduction and eventual elimination of fossil fuel combustion that lacks carbon capture. The program encourages research that helps build the raw material basis for the functioning of society principally on biomass, drawing heavily on sustainable agriculture and forestry. Additionally, material flows must reduce or preferably eliminate waste, with an emphasis on closed-loop or   processing._x000D_
Industrial ecology:Topics of interest include advancements in modeling such as life cycle assessment, materials flow analysis, net energy analysis, input/output economic models, and novel metrics for measuring sustainable systems. Innovations in industrial ecology are encouraged._x000D_
Green engineering:Research is encouraged to advance the sustainability of manufacturing processes, green buildings, and infrastructure. Many programs in the Engineering Directorate support research in environmentally benign manufacturing or chemical processes. The Environmental Sustainability program supports research that would affect more than one chemical or manufacturing process or that takes a systems or holistic approach to green engineering for infrastructure or green buildings. Improvements in distribution and collection systems that will advance smart growth strategies and ameliorate effects of growth are research areas that are supported by Environmental Sustainability. Innovations in management of storm water, recycling and reuse of drinking water, and other green engineering techniques to support sustainability may also be fruitful areas for research._x000D_
Ecological engineering:Proposals should focus on the engineering aspects of restoring ecological function to natural systems. Engineering research in the enhancement of natural capital to foster sustainable development is encouraged._x000D_
Earth systems engineering:Earth systems engineering considers aspects of large-scale engineering research that involve mitigation of greenhouse gas emissions, adaptation to climate change, and other global concerns._x000D_
_x000D_
All proposed research should be driven by engineering principles, and be presented explicitly in an environmental sustainability context. Proposals should include involvement in engineering research of at least one graduate student, as well as undergraduates. Incorporation of aspects of social, behavioral, and economic sciences is welcomed.
_x000D_
NOTE: Water treatment, air pollution (both outdoor and indoor), soil remediation, and solid waste treatment proposals are to besubmitted to theEnvironmental Engineeringprogram (CBET 1440).
_x000D_
Innovative proposals outside the scope of the four core areas mentioned above may be considered. However, prior to submission, it is recommended that the Principal Investigator contact the program director to avoid the possibility of the proposal being returned without review. For proposals that call for research to be done on regions that are outside of the United States, an explanation must be presented of the potential benefit of the research for the United States.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 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E:Types of Proposals.
_x000D_
Compliance: Proposals that are not compliant with theProposal   Award Policies   Procedures Guide (PAPPG)will be returned without review.</t>
  </si>
  <si>
    <t>Electrochemical Systems</t>
  </si>
  <si>
    <t>TheElectrochemical Systemsprogram is part of the Chemical Process Systems cluster, which also includes: 1) theCatalysisprogram; 2) theInterfacial Engineeringprogram; and 3) theProcess Systems, Reaction Engineering, and Molecular Thermodynamicsprogram.
_x000D_
The goal of theElectrochemical Systemsprogram is to support fundamental engineering science research that will enable innovative processes involving electrochemistry or photochemistry for the sustainable production of electricity, fuels, chemicals, and other specialty and commodity products. Processes utilizing electrochemistry or photochemistry for sustainable energy and chemical production must be scalable, environmentally benign, reduce greenhouse gas production, and utilize renewable resources. Research projects that stress fundamental understanding of phenomena that directly impact key barriers to improved system or component-level performance (for example, energy efficiency, product yield, process intensification) are encouraged. Processes for energy storage should address fundamental research barriers for renewable electricity storage applications, for transport propulsion, or for other applications that could have impact towards climate change mitigation. For projects concerning energy storage materials, proposals should involve testable hypotheses that involve device or component performance characteristics that are tied to fundamental understanding of transport, kinetics, or thermodynamics. Advanced chemistries beyond lithium-ion are encouraged. Proposed research on processes utilizing electrochemistry or photochemistry should be inspired by the need for economic and impactful conversion processes.
_x000D_
All proposal project descriptions should address how the proposed work, if successful, will improve process realization and economic feasibility and compare the proposed work against current state of the art. Highly integrated multidisciplinary projects are encouraged. When appropriate, collaborations with industrial technologists are encouraged through GOALI proposals. Collaborative projects with an integrated experimental and theoretical approach are also encouraged.
_x000D_
Topics of interest include electrochemical energy storage and electrochemical production/conversion systems. Radically new battery systems can move the U.S. more rapidly toward a more sustainable transportation future and to greater renewable electricity production penetration. High-energy density and high-power density batteries suitable for transportation and renewable energy storage applications are of primary interest. Advanced systems involving metal anodes, solid-state electrolytes, nonaqueous systemsbeyond lithium, aqueous systems beyond lithium,and multivalent chemistries are encouraged. Research activities focused on commercially available systems such as lead-acid and nickel-metal hydride batteries or lithium-ion batteries for medical or consumer electronics applications will not be considered by this program. Novel electrochemical and photochemical systems and processes for the production of chemicals and high-value products are encouraged. Emphasis is placed on those systems that improve process intensification and process modularization with accompanying benefits in energy efficiency and environmental footprint.
_x000D_
Additional fundamental science topics of interest to this program include the study of:
_x000D_
_x000D_
advanced fuel cell systems or fuel cell components for transportation propulsion or grid energy storage applications;_x000D_
flow batteries for stationary energy storage applications including alternative redox chemistries (e.g., organic, inorganic, organometallic, macromolecular) and operating strategies (e.g., redox-mediation, suspensions); and_x000D_
photocatalytic or photoelectrochemical processes and devices for the splitting of water into hydrogen gas or for the reduction of carbon dioxide to liquid or gaseous fuels. Projects that largely focus on developing fundamental understanding of the catalytic reaction mechanisms and structure-function relationships may be more appropriate as submissions to the CBET Catalysis program (CBET 1401)._x000D_
_x000D_
Projects submitted to the Electrochemical Systems program are expected to develop fundamental, molecular-level understanding of the key chemical reaction and transport phenomena barriers to improved system-level performance. Innovative proposals outside of these specific interest areas may be considered. However, prior to submission, it is recommended that the Principal Investigator contact the program director to avoid the possibility of the proposal being returned without review.
_x000D_
Referrals to other programs within NSF:
_x000D_
_x000D_
Proposals that focus on electric-field driven separations such as dielectrophoresis should be directed to theInterfacial Engineeringprogram (CBET 1417)._x000D_
Proposals that focus on thermal management of energy storage devices and systems should be submitted to theThermal Transport Processesprogram (CBET 1406)._x000D_
Proposals that focus on improving device and system performance of primarily organic, inorganic, and hybrid photovoltaic (PV) technologies, including perovskites, may be more appropriate as submissions to the Electronics, Photonics, and Magnetic Devices program in Engineering's Division of Electrical, Communications, and Cyber Systems (ECCS 1517). PV materials proposals that focus on the material science may be considered in the Division of Materials Research of the Directorate for Mathematical and Physical Sciences._x000D_
Proposals that focus on the generation of thermal energy by solar radiation should be directed to theThermal Transport Processesprogram (CBET 1406)._x000D_
_x000D_
INFORMATION COMMON TO MOST CBET PROGRAMS
_x000D_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principal investigator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 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theProposal   Award Policies   Procedures Guide(PAPPG), Part 1, Chapter II, Section E: Types of Proposals.
_x000D_
COMPLIANCE: Proposals which are not compliant with theProposal   Award Policies   Procedures Guide (PAPPG)will be returned without review.</t>
  </si>
  <si>
    <t>Fluid Dynamics</t>
  </si>
  <si>
    <t>TheFluid Dynamicsprogram is part of the Transport Phenomena cluster, which also includes 1) theCombustion and Fire Systemsprogram; 2) theParticulate and Multiphase Processesprogram; and 3) theThermal Transport Processesprogram.
_x000D_
TheFluid Dynamicsprogram supports fundamental research toward gaining an understanding of the physics of various fluid dynamics phenomena. Proposed research should contribute to basic scientific understanding via experiments, theoretical developments, and computational discovery.
_x000D_
Major areas of interest and activity in the program include:
_x000D_
_x000D_
Turbulence and transition: High Reynolds number experiments; large eddy simulation; direct numerical simulation; transition to turbulence; 3-D boundary layers; separated flows; multi-phase turbulent flows; flow control and drag reduction. High-speed boundary layer transition and turbulence at Mach numbers greater than 5 to understand modal and/or non-modal interactions leading to boundary layer transition and the ensuing developing and fully developed turbulent boundary layer flows.Combined experiments and simulations are encouraged._x000D_
Bio-fluid physics:Bio-inspired flows; biological flows with emphasis on flow physics._x000D_
Non-Newtonian fluid mechanics:Single-phase viscoelastic flows; solutions of macro-molecules._x000D_
Bubble dynamics: Bubbles related to cavitation and/or drag reduction or impacting the fluid viscosity (locally) or manipulation of bubbles with external excitation (acoustofluidics)._x000D_
Microfluidics and nanofluidics: Micro-and nano-scale flow physics._x000D_
Wind and ocean energy harvesting: Focused on fundamental fluid dynamics associated with renewable energy. The NSF-DOE (Department of Energy) joint funding area is focused on high Reynolds number aerodynamics of thick airfoils (  21% thickness/chord) operating in complex (3D) steady, unsteady, and separated flows. Impacts of blade surface quality/roughness rotor performance on the aerodynamic/aeroelastic performance of novel rotor geometries and supporting structures are also of interest. Air/sea interactions, including waves/currents, on the hydrodynamic loading for offshore wind turbines. Improved measurement techniques and sensing/control technologies required to characterize the metocean environment impact on performance. The DoE participates in this initiative throughthe Wind Energy Technologies Office (program manager Michael Derby, email: michael.derby@ee.doe.gov)._x000D_
Fluid-structure interactions:General FSI applications across the low- to high-Reynolds number range are of interest to NSF. In addition, NSF-AFOSR (Air Force Office of Scientific Research) joint funding area is focused on theory, modeling and/or experiments for hypersonic applications. AFOSR participates in this initiative through the Aerothermodynamics program._x000D_
Canonicalconfigurations:Experimental research is encouraged to develop spatiotemporally resolveddatabases for canonical configurations to either confirm historicalresults or to provide data in an unexplored parameter region. Fidelity and completeness for theoretical/computational validation is a key attribute of theproposed experimental data._x000D_
Artificial intelligence (AI)/machine learning:Innovative AI ideas related to the use of machine learning and other AI approaches in fluid dynamics research to model and control the flows are encouraged.Verifying new models with canonicalconfigurations, when appropriate, is encouraged for theComputational andData-Enabled Science   Engineering(CDS E) program._x000D_
Instrumentation and Flow Diagnostics: Instrument development for time-space resolvedmeasurements; shear stress sensors; novel flow imaging; and velocimetry._x000D_
_x000D_
NOTE:Proposals that use fluid flows as a boundary input condition or a driving force in a problem do not fit within the scope of this program. Proposals focused on particulates (including droplets) two-way coupled with fluids, colloids, and multiphase rheology and processes should be directed to the Particulate andMultiphase Processesprogram. Proposals dealing mainly with materials synthesis, processing and characterization may be more suitable for theAdvanced Manufacturingprogramin the Division of Civil, Mechanical, and Manufacturing Innovation orprograms in theDivision of Materials Research. Proposals dealing primarily with sensors and controls may be more suitable for the Dynamics, Controls,   Cognition program in the Division of Civil, Mechanical, and Manufacturing Innovation. Proposals focused on biological systems may be more suitable forPhysiological and Structural Systemsin the Division of Integrative Organismal Systems.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 (PAPPG), Part 1, Chapter II, Section E: Types of Proposals.
_x000D_
Compliance: Proposalsthat are not compliant with theProposal   Award Policies   Procedures Guide (PAPPG)will be returned without review.</t>
  </si>
  <si>
    <t>A Science of Science Approach to Analyzing and Innovating the Biomedical Research Enterprise</t>
  </si>
  <si>
    <t>The National Science Foundation (NSF) and the National Institutes of Health (NIH) are interested in proposals that will propel our understanding of the biomedical research enterprise by drawing from the scientific expertise of the science of science policy research community.
NSF promotes the progress of science by maintaining the general health of research and education across all fields of science and engineering. The Social, Behavioral and Economic Sciences (SBE) Directorate within NSF supports basic research on people and society. The SBE sciences focus on human behavior and social organizations; how social, economic, political, cultural and environmental forces affect the lives of people from birth to old age; and how people in turn shape those forces. SBE's Science of Science: Discovery, Communication and Impact Program (SoS:DCI) supports research designed to advance the scientific basis of science and innovation policy.
The NIH is the U.S. federal agency charged with supporting biomedical research in the U.S.The National Institute of General Medical Sciences (NIGMS) within the NIH supports basic biomedical research that increases understanding of biological processes and lays the foundation for advances in disease diagnosis, treatment and prevention.
Both NSF and NIH believe that there are opportunities and needs for building and supporting research projects with a focus on the scientific research enterprise. The two agencies also recognize that when programmatic goals are compatible, coordinated management and funding of a research program can have a positive synergistic effect on the level and scope of research and can leverage the investments of both agencies.
Therefore, NIGMS and SBE are partnering to enable collaboration in research between theSoS:DCI program and NIGMS. This partnership will result in a portfolio of high-quality research to provide scientific analysis of important aspects of the biomedical research enterprise and efforts to foster a diverse, innovative, productive and efficient scientific workforce, from which future scientific leaders will emerge.
Prospective investigators are strongly encouraged to discuss theirproposals with the program officers before submission to determine project relevance to the priorities of both SBE and NIGMS. Specific questions pertaining to this solicitation can also be directed to the SBE and NIGMS program officers.</t>
  </si>
  <si>
    <t>FY 2023 EDA Public Works and Economic Adjustment Assistance Programs</t>
  </si>
  <si>
    <t>State governments Pursuant to Section 3(4) of PWEDA (42 U.S.C.   3122(4)(a)) and 13 C.F.R.   300.3 (Eligible Recipient), eligible applicants for EDA financial assistance under the Public Works and EAA programs include a(n): (i) District Organization of an EDA-designated Economic Development District; (ii) Indian Tribe or a consortium of Indian Tribes; (iii) State, county, city, or other political subdivision of a State, including a special purpose unit of a State or local government engaged in economic or infrastructure development activities, or a consortium of political subdivisions; (iv) institution of higher education or a consortium of institutions of higher education; or (v) public or private non-profit organization or association acting in cooperation with officials of a political subdivision of a State. Individuals and for-profit entities are not eligible for funding under this NOFO.</t>
  </si>
  <si>
    <t>PLEASE FIND THE NOFO UNDER THE RELATED DOCUMENTS TAB
Program Overview:
EDA has authority to provide grants to meet the full range of communitiesâ€™ and regionsâ€™ economic development needs from planning and technical assistance to construction of infrastructure. These grants are made through a series of Notices of Funding Opportunity (NOFOs) that can be found on EDAâ€™s website at https://www.eda.gov/funding/funding-opportunities and are designed to support the economic development activities most useful to a community based on its needs and circumstances. EDA funds community or regionally generated ideas and assists communities to advance to the next level of economic development.
This NOFO, which supersedes the FY20 PWEAA NOFO, sets out EDAâ€™s application submission and review procedures for two of EDAâ€™s core economic development programs authorized under the Public Works and Economic Development Act of 1965, as amended (42 U.S.C. Â§ 3121 et seq.) (PWEDA): (1) Public Works and Economic Development Facilities (Public Works) and (2) Economic Adjustment Assistance (EAA).
EDA supports bottom-up strategies that build on regional assets to spur economic growth and resiliency. EDA encourages its grantees throughout the country to develop initiatives that present new ideas and creative approaches to advance economic prosperity in distressed communities.
Through this NOFO EDA intends to advance general economic development in accordance with EDAâ€™s investment priorities, but also to pursue projects that, where practicable, incorporate specific priorities related to equity, workforce development, and climate change resiliency so that investments can benefit everyone for decades to come.</t>
  </si>
  <si>
    <t>U.S. Embassy Libreville PDS Annual Program Statement</t>
  </si>
  <si>
    <t>DOS-GAB</t>
  </si>
  <si>
    <t>U.S. Mission to Gabon</t>
  </si>
  <si>
    <t>Others (see text field entitled "Additional Information on Eligibility" for clarification) Civil Society organizations_x000D_
Educational associations</t>
  </si>
  <si>
    <t xml:space="preserve">A. PROGRAM DESCRIPTION 
The U.S. Embassy Libreville Public Diplomacy Section (PDS) of the U.S. Department of State is pleased to announce that funding is available through its Public Diplomacy Small Grants Program. This is an Annual Program Statement, outlining our funding priorities, the strategic themes we focus on, and the procedures for submitting requests for funding. Please carefully follow all instructions below. 
Purpose of Small Grants: PDS invites proposals for programs that strengthen cultural ties between the U.S. and Gabon through cultural and exchange programming that highlights shared values and promotes bilateral cooperation. All programs must include an American cultural element, or connection with American expert/s, organization/s, or institution/s in a specific field that will promote increased understanding of U.S. policy and perspectives. 
Examples of PDS Small Grants Program programs include, but are not limited to: 
Â· Academic and professional lectures, seminars and speaker programs; 
Â· Artistic and cultural workshops, joint performances and exhibitions; 
Â· Cultural heritage conservation and preservation programs; 
Â· Professional and academic exchanges and programs; 
Priority Program Areas: 
Â· Enhance Capacity to Preserve the Environment and Biodiversity to Counter the Effects of Climate Change 
Â· Deepen U.S. â€“ Gabon People-to-People Ties 
o Programs that seek to explain U.S. policies, culture, and values to Gabonese audiences 
Â· Increase Civic Engagement in Gabonese Society 
The following types of programs are not eligible for funding:  
Â· Programs relating to partisan political activity; 
Â· Charitable or development activities; 
Â· Construction programs; 
Â· Programs that support specific religious activities; 
Â· Fund-raising campaigns; 
Â· Lobbying for specific legislation or programs 
Â· Scientific research; 
Â· Programs intended primarily for the growth or institutional development of the organization; or 
Â· Programs that duplicate existing programs. 
Authorizing legislation, type and year of funding: 
Funding authority rests in the Smith-Mundt. The source of funding is FY2023 Public Diplomacy Funding.  
B. FEDERAL AWARD INFORMATION 
Length of performance period: Up to 12 months  
Number of awards anticipated: 2 or 3 awards (dependent on amounts) 
Award amounts: awards may range from a minimum of $5,000 to a maximum of $12,500 
Total available funding: $25,000 
Type of Funding: Fiscal Year 2023 Public Diplomacy Funding 
Anticipated program start date: From July/August 2023 
This notice is subject to availability of funding. 
Funding Instrument Type: Grant, Fixed Amount Award, or Cooperative agreement. Cooperative agreements are different from grants in that PDS staff are more actively involved in the grant implementation. 
Program Performance Period: Proposed programs should be completed in two years or less.  
PDS will entertain applications for continuation grants funded under these awards beyond the initial budget period on a non-competitive basis subject to availability of funds, satisfactory progress of the program, and a determination that continued funding would be in the best interest of the U.S. Department of State. 
C. ELIGILIBITY INFORMATION 
1. Eligible Applicants 
The Public Diplomacy Section encourages applications from U.S. and Gabon: 
Â· Registered not-for-profit organizations, including think tanks and civil society/non-governmental organizations with programming experience. 
Â· Individuals  
 Non-profit or governmental educational institutions 
 Governmental institutions 
For-profit or commercial entities are not eligible to apply.  
2. Cost Sharing or Matching 
Cost sharing is not required. 
3. Other Eligibility Requirements 
Applicants are only allowed to submit one proposal per organization. If more than one proposal is submitted from an organization, all proposals from that institution will be considered ineligible for funding. 
In order to be eligible to receive an award, all organizations must have a Unique Entity Identifier (UEI) number issued via www.SAM.gov as well as a valid registration on www.SAM.gov. Please see Section D.3 for more information. Individuals are not required to have a UEI or be registered in SAM.gov. 
Please see link below for additional information. 
 </t>
  </si>
  <si>
    <t>U.S. Ambassadors Fund for Cultural Preservation - Ukraine Response</t>
  </si>
  <si>
    <t>Others (see text field entitled "Additional Information on Eligibility" for clarification) Foreign Institution of Higher Education; Foreign-based non-profit organizations/nongovernment organizations (NGO); Foreign Public Entity; U.S. Non-Profit Organization (IRC section 501(c)(3)); U.S. Institution of Higher Education</t>
  </si>
  <si>
    <t>Refer to the Application Instructions (PDF) under Related Documents for additional information on eligible activities and application submission details. For proposals to receive consideration, applicants must submit all materials to AFCP@state.gov.
The Bureau of Educational and Cultural Affairs of the U.S. Department of State (the Bureau) and the U.S. Embassy to Ukraine announce an open competition for organizations to submit proposals for funding through the Bureauâ€™s U.S. Ambassadors Fund for Cultural Preservation â€“ Ukraine Response (AFCP-UR) to carry out urgent projects to preserve and protect cultural heritage in Ukraine impacted by Russiaâ€™s unjust and unprovoked war of aggression.
The overall intent of this program is to safeguard prominent examples of Ukraineâ€™s cultural heritage. It will support the following activities:
 Assessment and documentation of risk and damage to cultural heritage sites, objects, and collections.
 Protection of cultural heritage sites, objects, and collections from theft, damage, or further damage.
 Stabilization or temporary repair of damaged cultural heritage sites, objects, and collections.
 Recovery or conservation of cultural heritage objects and collections as conditions allow.
 Recovery, restoration, or reconstruction of damaged cultural heritage sites as conditions allow.
AFCP-UR will support projects in the following two categories: 1) Site-Specific Projects, and 2) Regional Assessment and Rapid Response Projects. Eligible applicants may submit multiple applications and may apply to one or both project categories.
 Site-Specific Projects: For these projects, an applicant shall carry out protection and stabilization activities at a specific site or for a specific collection. It is expected that an initial damage assessment has already been conducted and can form the basis of a project proposal.
 Regional Assessment and Rapid Repair Projects: For these projects, an applicant shall identify a geographic area in Ukraine, conduct risk and damage assessments in that area, and prioritize and implement response and recovery activities.
Refer to the Application Instructions (PDF) under Related Documents for additional information on eligible activities, and application submission details. For proposals to receive consideration, applicants must submit all materials to AFCP@state.gov.</t>
  </si>
  <si>
    <t>Growing Research Access for Nationally Transformative Equity and Diversity</t>
  </si>
  <si>
    <t>GRANTED supports ambitious ideas and innovative strategies to address challenges and inequalities within the research enterprise. The research enterprise is broadly defined and includes administrative support and service infrastructure such as, but not limited to, human capital, research development and administration, research analytics, technology transfer and commercialization, corporate relations/public-private partnerships, research integrity, compliance and security, research policy, administration of student research training, and research leadership. Strengthening this administrative infrastructure supporting research and STEM training is necessary to fully utilize the Nation's talent and capabilities and empower America's organizations that engage in or support research, to participate in a diverse, equitable, and internationally competitive research enterprise.
_x000D_
Program Description
_x000D_
A strong national research enterprise relies on more than funding for the research itself. It also requires robust administrative support and service infrastructure, which is often unseen, yet includes critical components of the research enterprise. This infrastructure enables the development of proposals and management of awards. It supports broader impacts activities through technology transfer, public-private partnerships and community engaged research. Policy and process guides research compliance and enables the security and integrity of the work. Research analytics and communication, managing the training of our scientific workforce, and harnessing the creativity and drive of research leadership, and more, are fundamental components of the infrastructure. Access to, and provisioning of, administrative infrastructure varies significantly among organizations in research, resulting in structural barriers that impede broad participation in the Nation's research and discovery opportunities. Securing global leadership demands we act together to transform the research enterprise to be more resilient, sustainable, equitable, and diverse.
_x000D_
The GRANTED initiative provides unique opportunities to realize this vision for research enterprise infrastructure. Proposals in response to this GRANTED program description should be broadly inclusive and engage the professional, administrative research support and service workforce in project leadership roles described within proposals.Proposed projects should look beyond individual and discipline-specific research needs and focus on activities that create institution/organization-wide impact. Projects that identify nationally scalable models to build and sustain research enterprise infrastructure are strongly encouraged. Competitive proposals will recognize structural challenges and include goals to implement interventions, solutions, and/or strategies that will mitigate the challenges and broaden participation. Proposals must be centered around one or more of the three main themes of GRANTED:
_x000D_
_x000D_
_x000D_
Enhancing practices and processes within the research enterprise;
_x000D_
_x000D_
_x000D_
Developing and strengthening human capital within the research enterprise;
_x000D_
_x000D_
_x000D_
Translating effective practices related to the research enterprise into diverseinstitutional and organizational contexts through partnerships with professional societies and organizations.
_x000D_
_x000D_
_x000D_
All types of institutions and organizations engaged, or aspiring to be engaged, in the research enterprise are invited to participate, as described in the current NSF Proposal and Award Policies and Procedures Guide (PAPPG) Part 1/Chapter 1, Section E. Prospective PIs are strongly encouraged to contact GRANTED initiative personnel (GRANTED@nsf.gov) with inquiries prior to developing and submitting a proposal to this program description. The project budget and duration should be determined by the scope of the proposed activities and presented in accordance with the PAPPG.GRANTED is not intended to fund discipline-specific STEM research and training projects.
_x000D_
Collectively, proposals funded through this Program Description will: 1) advance transformation of the national research enterprise, 2) generate scalable models that mitigate structural barriers and expand research capacity and competitiveness, 3) create new and authentic collaborations, partnerships, and communities centered around strengthening the Nation's research enterprise, 4) diversify the project leadership, institutions, ideas, and approaches that NSF funds, and 5) broaden participation in the Nation's research enterprise.</t>
  </si>
  <si>
    <t>Communications, Circuits, and Sensing-Systems</t>
  </si>
  <si>
    <t xml:space="preserve">The Communications, Circuits, and Sensing-Systems (CCSS) Program supports innovative research in circuit and system hardware and signal processing techniques. CCSS also supports system and network architectures for communications and sensing to enable the next-generation cyber-physical systems (CPS) that leverage computation, communication, and sensing integrated with physical domains. CCSS invests in micro- and nano-electromechanical systems (MEMS/NEMS), physical, chemical, and biological sensing systems, neurotechnologies, and communication   sensing circuits and systems. The goal is to create new complex and hybrid systems ranging from nano- to macro-scale with innovative engineering principles and solutions for a variety of applications including but not limited to healthcare, medicine, environmental and biological monitoring, communications, disaster mitigation, homeland security, intelligent transportation, manufacturing, energy, and smart buildings. CCSS encourages research proposals based on emerging technologies and applications for communications and sensing such as high-speed communications of terabits per second and beyond, sensing and imaging covering microwave to terahertz frequencies, personalized health monitoring and assistance, secured wireless connectivity and sensing for the Internet of Things, and dynamic-data-enabled autonomous systems through real-time sensing and learning.
_x000D_
Areas managed by CCSS Program Directors (please contact Program Directors listed in the CCSS staff directory for areas of interest):
_x000D_
RF Circuits and Antennas for Communications and Sensing
_x000D_
_x000D_
RF Communications and Sensing Technologies from kHz to THz_x000D_
Antennas and Wave Propagation for Communications and Sensing_x000D_
Circuits and Systems for Secured Communications and Sensing_x000D_
Trusted Microelectronic Circuits_x000D_
RF Biomedical Applications and Remote Sensing_x000D_
Bio-mimetic Circuits and Systems_x000D_
Dynamic-data-enabled Reconfigurable RF Subsystems through Sensing and Machine Learning_x000D_
Wireless Energy Transfer and RF Energy Harvesting_x000D_
_x000D_
Communication Systems and Signal Processing
_x000D_
_x000D_
Wireless, Optical, and Hybrid Communications and Networking_x000D_
Full-duplex, massive MIMO, mm-Wave, and THz communications_x000D_
Spectrum Access and Sharing_x000D_
Integrated Sensing, Communication, and Computational Systems_x000D_
Signal Processing, image processing, and Compressive Sampling_x000D_
Cyber Physical Systems and Hardware-controlled Secured Communications_x000D_
Dynamic-data-enabled Communication Systems through Sensing and Machine Learning_x000D_
Quantum Communication Systems_x000D_
_x000D_
Dynamic Bio-Sensing Systems
_x000D_
_x000D_
Micro, Nano, and Bio Systems (MEMS/NEMS)_x000D_
Chemical, Biological, and Physical Diagnostics_x000D_
Sensors, Actuators, and Electronic Interfaces_x000D_
Ultra-Low Power Wearable and Implantable Sensing Systems_x000D_
Dynamic-data-enabled Reconfigurable Sensing Systems_x000D_
Personalized Health Monitoring Systems through Sensing and Machine Learning_x000D_
Neuroengineering and Brain-Inspired Concepts and Designs_x000D_
</t>
  </si>
  <si>
    <t>Accelerating Elimination of Tuberculosis (TB) in Indonesia</t>
  </si>
  <si>
    <t>USAID-IND</t>
  </si>
  <si>
    <t>Indonesia USAID-Jakarta</t>
  </si>
  <si>
    <t>Others (see text field entitled "Additional Information on Eligibility" for clarification) Eligibility will be further described in each APS Addendum(s).</t>
  </si>
  <si>
    <t>Dear Interested Applicants:This Annual Program Statement (APS) publicizes in accordance with ADS 303.3.5.2(b) as the intention of the United States Government (USG), as represented by the United States Agency for International Development (USAID), Indonesia Mission, to fund one or multiple awards to improve the capacity of the National Tuberculosis Program, local partners, and communities to effectively detect, diagnose, and treat people affected by tuberculosis and provide preventive services to all people in need, while building a sustainable and resilient health system in Indonesia.This document is an â€œumbrellaâ€ APS that is not calling for any submission and will not solicit any concept papers nor applications. Prospective applicants will be provided a fair opportunity to develop and submit competitive applications to USAID for potential funding via APS Addendums under this APS. USAID Indonesia intends to make several assistance awards with US and local NGOs to assist the Government of Indonesia (GOI) in accelerating achievement toward its 2030 TB elimination.Following this APS, USAID will issue APS Addendum(s) with more detailed information for applicants to submit their applications. USAID Indonesia may utilize co-creation with prospective applicants during various stages of APS Addendum procurements and applicants may be invited to participate in virtual or in-person events. If/when there is any change related to this APS, the mission will amend this APS accordingly.Issuance of this APS does not commit USAID to make any awards nor to pay for the costs incurred in the preparation and submission of an application. USAID also reserves the right to reject any application received in response to the APS Addendum(s). USAID reserves the right not to conduct a co-creation and request Full Applications from successful applicants at the concept paper stage, or to conduct co-creation at a later stage of the process. The actual number of awards under this APS is subject to the availability of funds and the viability of applications received. USAID also reserves the right to award multiple awards or no awards at all through this APS.This APS and the APS Addendum will be posted on www.sam.gov and www.grants.gov. It is the responsibility of the Applicant to regularly check both websites to ensure they have the latest information pertaining to this APS and to ensure that the APS has been received from the internet in its entirety. USAID bears no responsibility for any data errors resulting from transmission or conversion process. If you have difficulty registering on www.grants.gov or accessing the APS document, please contact the Grants.gov Helpdesk at 1-800-518-4726 or via email at support@grants.gov for technical assistance.Thank you for your interest in USAID programs.</t>
  </si>
  <si>
    <t>Electronics, Photonics and Magnetic Devices</t>
  </si>
  <si>
    <t xml:space="preserve">TheElectronics, Photonics and Magnetic Devices (EPMD) Programsupports innovative research on novel devices based on the principles of electronics, optics and photonics, optoelectronics, magnetics, opto- and electromechanics, electromagnetics, and related physical phenomena. EPMD s goal is to advance the frontiers of micro-, nano- and quantum-based devices operating within the electromagnetic spectrum and contributing to a broad range of application domains including information and communications, imaging and sensing, healthcare, Internet of Things, energy, infrastructure, and manufacturing. The program encourages research based on emerging technologies for miniaturization, integration, and energy efficiency as well as novel material-based devices with new functionalities, improved efficiency, flexibility, tunability, wearability, and enhanced reliability.
_x000D_
Areas managed by Program Directors (please contact Program Directors listed in the EPMD staff directory for areas of interest):
_x000D_
Electronic Devices
_x000D_
_x000D_
Nanoelectronics_x000D_
Wide/Extreme- and Narrow-Bandgap, Semiconductor Devices_x000D_
Devices with New Functionalities based on Material-Device Interactions and Reliability_x000D_
Device-Related Electromagnetic Effects, Propagationand Scattering_x000D_
Microwave/mm-Wave/THz Devices_x000D_
Flexible, Printed Electronics_x000D_
Carbon-based Electronics_x000D_
Thermoelectric and Ferroelectric Devices_x000D_
_x000D_
Photonic Devices
_x000D_
_x000D_
Advanced Optical Emitters and Photodetectors, from Extreme UV to THz_x000D_
Single-Photon Quantum Devices_x000D_
Nonlinear and Ultrafast Photonics_x000D_
Nanophotonics and Photonic Integration_x000D_
Optical Imaging and Sensing Techniques_x000D_
Opto-Mechanical Nanodevices_x000D_
Optical Communication Components_x000D_
_x000D_
Magnetic Devices
_x000D_
_x000D_
Biomagnetic Devices_x000D_
Nanomagnetic and Quantum Devices_x000D_
Spin Electronics for Next Generation of Logic and Memories_x000D_
_x000D_
Cross-Cutting
_x000D_
_x000D_
2D Material Devices and Circuits_x000D_
Devices based on Paper Electronics_x000D_
Bioelectronic Devices_x000D_
Photovoltaic and Energy Harvesting Devices_x000D_
Metamaterial and Plasmonic-Based Devices_x000D_
Sensor Device Technologies_x000D_
</t>
  </si>
  <si>
    <t>Research Interests of the Air Force Office of Scientific Research</t>
  </si>
  <si>
    <t>Public and State controlled institutions of higher education See Announcement</t>
  </si>
  <si>
    <t>AFOSR plans, coordinates, and executes the Air Force Research Laboratoryâ€™s (AFRL) basic research program in response to technical guidance from AFRL and requirements of the Air Force. Additionally, the office fosters, supports, and conducts research within Air Force, university, and industry laboratories; and ensures transition of research results to support U.S. Air Force needs. The focus of AFOSR is on research areas that offer significant and comprehensive benefits to our national war fighting and peacekeeping capabilities. These areas are organized and managed in two scientific Departments: Engineering and Information Science (RTA), Physical and Biological Sciences (RTB), and our international offices (EAORD, SOARD, and AOARD). The research activities managed within each Department are summarized in this section.</t>
  </si>
  <si>
    <t>Centers of Research Excellence in Science and Technology Postdoctoral Research Program</t>
  </si>
  <si>
    <t>Others (see text field entitled "Additional Information on Eligibility" for clarification) *Who May Submit Proposals: Proposals may only be submitted by the following:
  - p class= CREST Postdoctoral Research Program proposals are submitted directly by the fellowship candidate to NSF. Each fellowship candidate must identify in the proposal one or more scientific mentor(s) and must affiliate with a primary host institution that houses a CREST Center with whom the scientific mentor(s) is affiliated. See the  a href= CREST program website  for a list of active centers.
*Who May Serve as PI:
To be eligible to submit a proposal to the CREST-PRP, an individual must, as of the full proposal deadline date:
 Be a U.S. citizen, national, or permanent resident; 
 Have earned the doctoral degree, or expect to have earned the doctoral degree, from an MSI (based on the most recent IPEDS data) prior to the required start date of the award; 
 Submit a project plan that falls within the purview of the NSF CREST Center host institution's research priorities; 
 Not have worked for more than a total of 24 full-time-equivalent months in positions that require the doctoral degree; and 
 Not have previously been a principal investigator or co-principal investigator of an NSF award (other than an NSF Graduate Research Fellowship) 
For the CREST-PRP,eligible institutionsare MSIs that have undergraduate enrollments of 50% or more students (based on total student enrollment) who are members of minority groups underrepresented among those holding advanced degrees in science and engineering fields.
Eligibility may be determined by reference to the Integrated Postsecondary Education Data System (IPEDS) of the US Department of Education National Center for Education Statistics ( a title=  href= ).
Proposals that fail to meet eligibility requirements will be returned without review.
By signing and submitting the proposal, the proposer is certifying that they meet the eligibility criteria specified in this program solicitation. Willful provision of false information in this request and its supporting documents or in reports required under an ensuing award is a criminal offense (U.S. Code, Title 18, Section 1001).</t>
  </si>
  <si>
    <t>The Centers of Research Excellence in Science and Technology (CREST) program provides support to enhance the research capabilities of minority-serving institutions (MSIs) through the establishment of centers that effectively integrate education and research. CREST promotes the development of new knowledge, enhancements of the research productivity of individual faculty, and an expanded presence of students who are members of groups underrepresented in science, technology, engineering, and mathematics (STEM) disciplines.
The CREST Postdoctoral Research Program (CREST-PRP) awards are part of the overarching CREST program and provide two years of support for research experience and training for early career scientists at active CREST Centers. The goal of the CREST-PRP awards isto increase the workforce presence of individuals from groups underrepresented in STEM fields. CREST-PRP awards recognize investigators with significant potential and provide them with research experiences that broaden perspectives, facilitate interdisciplinary interactions, and prepare CREST-PRP scholars for positions of leadership within the scientific community. Postdoctoral scholars conduct research on topics aligned with the research focus of the host CREST Center. The awards are also designed to provide active mentoring to the postdoctoral scholars by thescientific mentorwho, in turn, will benefit from the incorporation of these talented scientists into their research groups.
Proposals must be submitted by individual postdoctoral candidates. However, if an award is recommended, the award will be transferred to the host institution where the postdoctoral scholar will be named as the PI. The award will be issued to the host institution as a regular research award, and the award will be administered by the host institution.
Women, veterans, persons with disabilities, and members of groups underrepresented in STEM are especially encouraged to apply.</t>
  </si>
  <si>
    <t>Manufacturing Systems Integration</t>
  </si>
  <si>
    <t>The Manufacturing Systems Integration (MSI) Program supports fundamental research addressing the opportunities and challenges that digital technologies present for the next industrial revolution, with particular emphasis on the digital integration of design and manufacturing within the larger life cycle ecosystem. Manufacturing Systems Integration proposals should address underlying principles and advances that are generalizable for globally competitive and world leading industries. Connectivity, automation, and secure collaboration are examples of areas that are integral to digital environments capable of supporting the innovation, realization and sustainment of manufactured products and systems in the value creation process.
_x000D_
_x000D_
Fundamental generalizable research for manufacturing systems integration might include, for example:
_x000D_
_x000D_
_x000D_
Digital representation, protocols, and/or processes for integration and collaboration in manufacturing systems (machines and/or humans)_x000D_
Intelligent self-organizing production systems_x000D_
Ease of use, interoperability and seamless integration of technologies, machines, and humans_x000D_
Service-oriented architectures and systems_x000D_
Data sets that are compatible and usable across platforms_x000D_
Reliable and secure communications within and across the manufacturing value chain_x000D_
Integration of distributed manufacturing systems across time and space, including incorporating both legacy and leading-edge equipment and technologies_x000D_
Methods for assessing the impact and value of externalities throughout the life cycle within the digital environment_x000D_
_x000D_
_x000D_
_x000D_
Interdisciplinary, convergent proposals that bring diverse perspectives, populations, disciplines, and capabilities together are welcome. It is strongly encouraged and expected that investigators discuss their ideas with a MSI program director well in advance of proposal submission.</t>
  </si>
  <si>
    <t>Scholarships in STEM Network</t>
  </si>
  <si>
    <t>Through this solicitation, NSF seeks to foster a network of S-STEM stakeholders and further develop the infrastructure needed to generate and disseminate new knowledge, successful practices and effective design principles arising from NSF S-STEM projects nationwide. The ultimate vision of the legislation governing the S-STEM parent program[1] (and of the current S-STEM-Net solicitation) is that all Americans, regardless of economic status, should be able to contribute to the American innovation economy if they so desire.
_x000D_
To support collaboration within the S-STEM network, NSF will fund several S-STEM Research Hubs (S-STEM-Hub). The S-STEM Network(S-STEM-Net) will collaborate to create synergies and sustain a robust national ecosystem consisting of multi-sector partners supporting domestic low-income STEM students in achieving their career goals, while also ensuring access, inclusion, and adaptability to changing learning needs. The Hubs will investigate evolving barriers to the success of this student population. It will also disseminate the context and circumstances by which interventions and practices that support graduation of domestic low-income students (both undergraduate and graduate) pursuing careers in STEM are successful.
_x000D_
The target audience for this dissemination effort is the community of higher education institutions, faculty, scholars, researchers and evaluators, local and regional organizations, industry, and other nonprofit, federal, state, and local agencies concerned with the success of domestic low-income STEM students in the United States.
_x000D_
[1] https://www.nsf.gov/pubs/2022/nsf22527/nsf22527.htm</t>
  </si>
  <si>
    <t>HEAL Initiative Advanced Postdoctoral-to-Independent Career Transition Award in PAIN and SUD Research (Independent Basic Experimental Studies with Humans Required)</t>
  </si>
  <si>
    <t>Special district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</si>
  <si>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the NIH HEAL InitiativeSM Pathway to Independence Award (K99/R00) program is to support a cohort of new and talented independent investigators conducting Pain and/or SUD research, in order to increase the independent investigator workforce in research areas supported by the NIH HEAL InitiativeSM. This program is designed to facilitate a timely transition of eligible outstanding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t>
  </si>
  <si>
    <t>Archaeology Program - Doctoral Dissertation Research Improvement Grants</t>
  </si>
  <si>
    <t>Others (see text field entitled "Additional Information on Eligibility" for clarification) *Who May Submit Proposals: Proposals may only be submitted by the following:
  -
Institutions of Higher Education (IHEs)   doctoral degree granting IHEs accredited in, and having a campus located in, the U.S., acting on behalf of their faculty members.
*Who May Serve as PI:
The proposal must be submitted through regular organizational channels by the dissertation advisor(s) on behalf of the graduate student. The advisor is the principal investigator (PI) and the student is the co-principal investigator (co-PI). The student must be the author of the proposal. The student must be enrolled at a U.S. institution but need not be a U.S. citizen. To be eligible to serve as the PI, the advisor must be available during the period of proposal submission and review and during the performance of the research in order to relay information and communications from NSF to the student.</t>
  </si>
  <si>
    <t>The Archaeology Program supports anthropologically relevant archaeological research. This means that the value of the proposed research can be justified within an anthropological context. The program sets no priorities by either geographic region or time period. It also has no priorities in regard to theoretical orientation or question and it is the responsibility of the investigator to explain convincingly why the focus of their research is significant and has the potential to contribute to anthropological knowledge. While the program, in order to encourage innovative research, neither limits nor defines specific categories of research, most applications either request funds for field research or the analysis of archaeological material through multiple approaches. The program also supports methodological projects which develop analytic techniques of potential archaeological value.</t>
  </si>
  <si>
    <t>HEAL Initiative Advanced Postdoctoral-to-Independent Career Transition Award in PAIN and SUD Research to Promote Diversity (K99/R00 Independent Clinical Trial Not Allowed)</t>
  </si>
  <si>
    <t>Independent school districts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</si>
  <si>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the NIH HEAL InitiativeSM Pathway to Independence Award (K99/R00) program is to enhance workforce diversity in the research workforce and maintain a strong cohort of new and talented independent investigators conducting Pain and/or SUD research, in order to increase the pool of diverse and independent investigator workforce in research areas supported by the NIH HEAL InitiativeSM. This program is designed to facilitate a timely transition of eligible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
This Funding Opportunity Announcement (FOA) is designed specifically for applicants proposing research that does not involve leading an independent clinical trial, a clinical trial feasibility study, an ancillary clinical trial, or an independent Basic Experimental Studies with Humans (BESH). Applicants to this FOA are permitted to propose research experience in a clinical trial led by a mentor or co-mentor. Applicants proposing an independent clinical trial, a clinical trial feasibility study, an ancillary clinical trial, or an independent BESH as lead investigator, should apply to the companion FOA (RFA-NS-22-024).</t>
  </si>
  <si>
    <t>HEAL Initiative Advanced Postdoctoral-to-Independent Career Transition Award in PAIN and SUD Research (K99/R00 Independent Clinical Trial Not Allowed)</t>
  </si>
  <si>
    <t>City or township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</si>
  <si>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HEAL Initiative Advanced Postdoctoral-to-Independent Career Transition Award in PAIN and SUD Research to Promote Diversity (K99/R00  Independent Basic Experimental Studies with Humans Required)</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</si>
  <si>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</si>
  <si>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the NIH HEAL InitiativeSM Pathway to Independence Award (K99/R00) program is to enhance workforce diversity in the research workforce and maintain a strong cohort of new and talented independent investigators conducting Pain and/or SUD research, in order to increase the pool of diverse and independent investigator workforce in research areas supported by the NIH HEAL InitiativeSM. This program is designed to facilitate a timely transition of eligible postdoctoral researchers from their mentored, postdoctoral research positions to independent, tenure-track or equivalent faculty positions. The program will provide independent NIH research support during this transition to help awardees establish independent research programs in areas supported by the NIH HEAL InitiativeSM.
This Funding Opportunity Announcement (FOA) is designed specifically for applicants proposing research to serve as the lead investigator of an independent clinical trial, a clinical trial feasibility study, an ancillary clinical trial, or an independent Basic Experimental Studies with Humans (BESH). Applicants not planning an independent clinical trial, or proposing to gain research experience in a clinical trial led by another investigator, must apply to companion FOA (RFA-NS-22-025).</t>
  </si>
  <si>
    <t>Biological Oceanography</t>
  </si>
  <si>
    <t xml:space="preserve">The Biological Oceanography Program supports fundamental research in biological oceanography and marine ecologyin environments ranging from estuarine, coastal, and open ocean systems to the deep sea, as well as in the Great Lakes.Proposals submitted to the Program must have a compelling context in population, community, or ecosystem ecology or oceanography, as well as address topics that will contribute significantly to the understanding of marine or Great Lakes ecosystems. The Program supports interdisciplinary research and often co-reviews and co-funds projects with various programs in theDivision of Ocean Sciencesand theDirectorate of Biological Sciences(BIO), among others.Details on research topics funded by the Program, including supplements, RAPIDS, and EAGERS, can be found by selecting the link under Related URLS titled:  Additional Program Information.  To view research projects funded by the Program select the link below titled  What Has Been Funded (Recent Awards Made Through This Program, with Abstracts). </t>
  </si>
  <si>
    <t>Research Coordination Networks (RCN)</t>
  </si>
  <si>
    <t xml:space="preserve">
The goal of the RCN program is to advance a field or create new directions in research or education by supporting groups of investigators to communicate and coordinate their research, training and educational activities across disciplinary, organizational, geographic, and international boundaries. The RCN program provides opportunities to foster new collaborations, including international partnerships where appropriate, and address interdisciplinary topics. Innovative ideas for implementing novel networking strategies, collaborative technologies, training, broadening participation, and development of community standards for data and meta- data are especially encouraged. RCN awards are not meant to support existing networks; nor are they meant to support the activities of established collaborations. RCN awards also do not support primary research. Rather, the RCN program supports the means by which investigators can share information and ideas; coordinate ongoing or planned research activities; foster synthesis and new collaborations; develop community standards; and in other ways advance science and education through communication and sharing of ideas. Additional information about the RCN program and its impacts may be found in Porter et al. 2012 Research Coordination Networks: Evidence of the relationship between funded interdisciplinary networking and scholarly impact. BioScience, 62: 282-288
Proposed networking activities directed to the RCN program should focus on a theme to give coherence to the collaboration, such as a broad research question ora particular technology or a unique approach to address a current challenge.PIs are encouraged to consider approaches that enhance the geographic diversity of participation in the chosen theme.
Participating programs in the Directorates for Biological Sciences (BIO), Computer and Information Science and Engineering (CISE), Geosciences (GEO), STEM Education (EDU), Engineering (ENG), Social, Behavioral and Economic Sciences (SBE), and Technology, Innovation and Partnerships (TIP) will accept RCN proposals. PIs are encouraged to discuss suitability of an RCN topic with a program officer that manages the appropriate program. For proposals submitted to the CISE, ENG, SBE and TIP directorates consultation PRIOR to submission is mandatory (see Proposal Preparation instructions for supplementary documents). The NSF Growing Research Access for Nationally Transformative Equity and Diversity(NSF GRANTED) program welcomes inquiries about potential RCN proposals aimed at strengthening the capability of institutions of higher education to develop, submit, and manage research proposals and awards.
Other NSF solicitations accept proposals similar to RCN but for narrowly defined themes. Please see section IX. Other Information of this solicitation for a listing of these programs. PIs are strongly advised to contact the appropriate Program Officer before submitting an RCN proposal.</t>
  </si>
  <si>
    <t>Social Psychology</t>
  </si>
  <si>
    <t>The Social Psychology Program at NSF supports research and research infrastructure to advance basic knowledge in social psychology. Projects funded by the Social Psychology Program support the NSF mission to promote the progress of science; to advance the national health, prosperity and welfare; and to secure the national defense. Proposals considered by the Social Psychology Program must communicate both the intellectual merit of the science and its broader societal impacts.
Proposed research should carry strong potential for creating transformative advances in the basic understanding of human social behavior. Among the many research topics supported are social cognition, attitudes, social and cultural influence, stereotypes, motivation, decision making, group dynamics, aggression, close relationships, social and affective neuroscience, social psychophysiology, emotions, prosocial behavior, health-related behavior, and personality and individual differences. Proposals that develop new theories or methods for understanding social behavior are highly encouraged. Research samples should represent substantial ranges of ethnicities, socioeconomic backgrounds, cultures and other dimensions of human populations.
Interdisciplinary, multidisciplinary and convergent research approaches are encouraged. Proposals involving non-human animals are considered only if the research offers clear and direct contributions to understanding human social behavior. The program does not fund research that seeks to improve clinical practice as its primary outcome, nor does it consider proposals with disease-related goals, including work on the etiology, diagnosis or treatment of physical or mental disease, abnormality or malfunction in human beings or animals.
In assessing intellectual merit, the Social Psychology Program places highest priority on research that is theoretically grounded, based on empirical observation and validation, and with designs appropriate to the questions asked. In assessing broader impacts, the Social Psychology Program places highest priority on proposals that offer strong potential to benefit society, strengthen our national security interests, improve the quality of life, broaden participation in science, enhance infrastructure for research and education, and include a plan for sharing the results with a wide variety of audiences.
The Social Psychology Program expects the methods, measures and data that result from NSF support to be openly shared with other researchers and the public. For further guidance proposers should consult Data Management for NSF SBE Directorate Proposals and Awards. The Data Management Plan should articulate how the proposed research will engage with best practices of open science. Researchers are expected to engage in open science practices, and deviations from that should be well-justified.
The Social Psychology Program accepts regular research proposals, including Faculty Early Career Development (CAREER) proposals, proposals for research in undergraduate institutions (RUI), rapid response research proposals (RAPID) and early-concept grants for exploratory research (EAGER). The program also accepts small conference proposals for events (including workshops) being planned one year or more after submission. The Social Psychology Program does not accept proposals for doctoral dissertation improvement awards.
Investigators are encouraged to contact a Social Psychology program director before submitting a proposal to confirm its fit with the scope and priorities of the Social Psychology Program. Such contact will be most productive by sending a one-page (maximum) summary with an overview of the planned proposal, which includes a description of intellectual merit and broader impacts.
The Social Psychology program is always interested in identifying new reviewers. Potential reviewers should have a Ph.D. in psychology or related field and have a demonstrated area of expertise relevant to social psychology. Individuals interested in reviewing for the program should send a short description of their areas of expertise (2 sentences) and their CV to a Social Psychology program director.</t>
  </si>
  <si>
    <t>Leading Equity and Diversity in the Medical Scientist Training Program (LEAD MSTP)(T32)</t>
  </si>
  <si>
    <t>Private institutions of higher education Other Eligible Applicants include the following:
Non-domestic (non-U.S.) Entities (Foreign Institutions) are not eligible to apply.
Non-domestic (non-U.S.) components of U.S. Organizations are not eligible to apply.</t>
  </si>
  <si>
    <t>The goal of the Leading Equity and Diversity in the Medical Scientist Training Program (LEAD MSTP) is to develop a diverse pool of highly trained clinician-scientist leaders available to meet the Nations biomedical research needs by providing support for dual-degree clinician scientist training at institutions that have historically not been well represented among NIGMS-funded MSTPs. Specifically, this Funding Opportunity Announcement (FOA) provides support to eligible domestic institutions to develop and implement effective, evidence-informed approaches to fully integrate the transitional phases of dual-degree training and mentoring that will lead to the completion of both clinical degrees (e.g., M.D., D.O., D.V.M., D.D.S., Pharm.D., etc.), and research doctorate degrees (Ph.D.) and keep pace with the rapid evolution of the biomedical enterprise.
With the dual qualification of a rigorous scientist and clinician, graduates will be equipped with the skills to develop research programs that accelerate the translation of research advances to the understanding, detection, treatment, and prevention of human disease, and to lead the advancement of biomedical research. Areas of particular importance to NIGMS are optimizing training efficiency, fostering the persistence of alumni in research careers, and enhancing the diversity of the clinician-scientist workforce. NIGMS expects that the proposed research training programs will incorporate didactic, research, mentoring and career development elements to prepare trainees for careers that will have a significant impact on the health-related research needs of the Nation.
This program is limited to dual-degree training programs at (1) Historically Black Colleges and Universities (HBCUs), (2) Tribal Colleges and Universities (TCUs), and (3) institutions in the states and territories that participate in the Institutional Development Award (IDeA) program, a congressionally mandated program that builds research capacity in state.</t>
  </si>
  <si>
    <t>Training-based Workforce Development for Advanced Cyberinfrastructure  (CyberTraining)</t>
  </si>
  <si>
    <t>Others (see text field entitled "Additional Information on Eligibility" for clarification) *Who May Serve as PI:
To ensure relevance to community needs and to facilitate adoption, those proposals of interest to one or moredomain divisionsmustinclude at least one PI/co-PI with expertise relevant to the targeted research discipline. All proposals shall include at least one PI/co-PI with expertise relevant to OAC.</t>
  </si>
  <si>
    <t>This program seeks to prepare, nurture, and grow the national scientific research workforce for creating, utilizing, and supporting advanced cyberinfrastructure (CI) to enable and potentially transform fundamental science and engineering (S E) research and education and contribute to the Nation's overall economic competitiveness and security. The goals of this solicitation are to (i) ensure broad adoption of CI tools, methods, and resources by the research community in order to catalyze major research advances and to enhance researchers  abilities to lead the development of new CI, and (ii) integrate core literacy and discipline-appropriate advanced skills in advanced CI as well as computational and data-driven methods for advancing fundamental research, into the Nation s undergraduate and graduate educational curriculum/instructional materials. Proposals responding to this solicitation may target one or both of the two solicitation goals. For the purpose of this solicitation, advanced CI is broadly defined as the set of resources, tools, methods, and services for advanced computation, large-scale data handling and analytics, and networking and security for large-scale systems that collectively enable potentially transformative fundamental S E research and education.
_x000D_
This solicitation calls for innovative, scalable training, education, and curriculum/instructional materials targeting one or more of the solicitation goals to address emerging needs and unresolved bottlenecks in the S E research workforce development, from the postsecondary level to active researchers to CI professionals. The funded activities, spanning targeted, multidisciplinary communities, should lead to transformative changes in the state of research workforce preparedness for advanced CI-enabled research in the short- and long-term. This solicitation also seeks to broaden CI access and adoption by (i) increasing the adoption of advanced CI and computational and data-driven methods to a broader range of S E disciplines and institutions and (ii) effectively utilizing the capabilities of individuals from a diverse set of underrepresented groups. Proposals from, and in partnership with, the aforementioned communities are especially encouraged.
_x000D_
There are two project classes as defined below:
_x000D_
_x000D_
Pilot Projects: up to $300,000 total budget with durations up to two years; and_x000D_
Implementation Projects: Small (with total budgets of up to $500,000) or Medium (with total budgets of up to $1,000,000) for durations of up to four years._x000D_
_x000D_
Section II. Program Description provides a more complete description of the project classes. Section V.A. Proposal Preparation Instructions describes the proposal elements required for the various project classes in order to address the suitable set of solicitation-specific review criteria.
_x000D_
The CyberTraining program is led by the Office of Advanced Cyberinfrastructure (OAC) in the Directorate for Computer and Information Science and Engineering (CISE) and has participation from other NSF directorates/divisions, as described in Section II. Program Description, Programmatic Areas of Interest. Not all directorates/divisions are participating at the same level, and some have specific research and education priorities. The appropriate contact for the CyberTraining program in any directorate/division is the Cognizant Program Officer (PO) for the respective directorate/division/office/program listed below.
_x000D_
All projects are expected to clearly articulate how they will address important community needs, provide resources that will be widely available to and usable by the research community, and broaden participation from underrepresented groups.Prospective principal investigators (PIs) are strongly encouraged to contact the Cognizant Program Officers in CISE/OAC and in the participating directorate/division relevant to the proposal to ascertain whether the focus and budget of their proposed activities are appropriate for this solicitation. Such consultations should be completed at least one month in advance of the submission deadline. PIs should include the names of the Cognizant Program Officers consulted in a Single Copy Document as described in Section V.A. Proposal Preparation Instructions. The intent of the CyberTraining program is to encourage collaboration between CI and S E domain disciplines. (For this purpose, units of CISE other than OAC are considered domain disciplines.) To ensure relevance to community needs and to facilitate adoption, those proposals of interest to one or more domain divisions must include at least one PI/co-PI with expertise relevant to the targeted research discipline. All proposals shall include at least one PI/co-PI with expertise relevant to OAC.
_x000D_
Prospective PIs contemplating submissions that primarily target communities relevant to directorates/divisions that are not participating in this solicitation are directed to instead explore the education and workforce development programs of the respective directorates/divisions.</t>
  </si>
  <si>
    <t>Strengthening the Cyberinfrastructure Professionals Ecosystem  (SCIPE)</t>
  </si>
  <si>
    <t>The overarching goal of this solicitation is to democratize access to NSF s advanced cyberinfrastructure (CI) ecosystem and ensure fair and equitable access to resources, services, and expertise by strengthening how Cyberinfrastructure Professionals (CIP) function in this ecosystem. It aims to achieve this by (1) deepening the integration of CIPs into the research enterprise, and (2) fostering innovative and scalable education, training, and development of instructional materials, to address emerging needs and unresolved bottlenecks in CIP workforce development. Specifically, this solicitation seeks to nurture, grow and recognize the national CIP[1] workforce that is essential forcreating, utilizing andsupportingadvanced CI to enable and potentially transform fundamental science and engineering (S E) research and education and contribute to the Nation's overall economic competitiveness and security. Together, the principal investigators (PIs), technology platforms, tools, and expert CIP workforce supported by this solicitation operate as an interdependent ecosystem wherein S E research and education thrive. This solicitation willsupport NSF s advanced CI ecosystem with a scalable, agile, diverse, and sustainable network of CIPs that can ensurebroad adoptionof advanced CI resources and expert services including platforms, tools, methods, software, data, and networks for research communities, to catalyze major research advances, and to enhance researchers' abilities to lead the development of new CI. 
The SCIPE program is led by the Office of Advanced Cyberinfrastructure (OAC) in the Directorate for Computer and Information Science and Engineering (CISE) and has participation from other NSF directorates/divisions, as described in Section II. Program Description,Programmatic Areas of Interest. Not all directorates/divisions are participating at the same level, and some have specific research and education priorities. The appropriate contact for the SCIPE program in any directorate/division is the Cognizant Program Officer (PO) for the respective directorate/division/office/program listed below.
All projects are expected to clearly articulate how they address essential community needs, will provide resources that will be widely available to and usable by the research community, and will broaden participation from underrepresented groups.Prospective PIs arestrongly encouragedto contact the Cognizant Program Officers in CISE/OACandin the participating directorate/division relevant to the proposal to ascertain whether the focus and budget of their proposed activities are appropriate for this solicitation.Such consultations should be completed at least one month before the submission deadline. PIs should include the names of the Cognizant Program Officers consulted in a Single Copy Document as described in Section V.A. Proposal Preparation Instructions. The intent of the SCIPE program is to encourage collaboration between CI and S E domain disciplines. (For this purpose, units of CISE other than OAC are considered domain disciplines.) To ensure relevance to community needs and to facilitate adoption, those proposals of interest to one or more domain divisionsmustinclude at least one PI/co-PI with expertise relevant to the targeted research discipline. All proposals shall include at least one PI/co-PI with expertise pertinent to OAC.
Prospective PIs contemplating submissions that primarily target communities relevant to directorates/divisions that are not participating in this solicitation are directed to explore instead the education and workforce development programs of the respective directorates/divisions.
[1] 9CI Professionals refers to the community of individuals who provide a broad spectrum of skills and expertise to the scientific and engineering research enterprise by inventing, developing, deploying and/or supporting research CI and CI users. Examples of CI Professionals include CI system administrators, CI research support staff, CI research software engineers, data curators, and CI facilitators, and may also include computational research scientists and engineers who are not in traditional academic paths.See:Transforming Science Through Cyberinfrastructure: NSF s Blueprint forCyberinfrastructure Learning and Workforce Development,https://www.nsf.gov/cise/oac/vision/blueprint-2019/CI-LWD.pdf.</t>
  </si>
  <si>
    <t>U.S. Mission to the United Nations-Geneva, Small Grants Program</t>
  </si>
  <si>
    <t>DOS-USUN</t>
  </si>
  <si>
    <t>U.S. Mission to the United Nations</t>
  </si>
  <si>
    <t>Others (see text field entitled "Additional Information on Eligibility" for clarification) U.S. Mission Geneva welcomes applications from both individuals and organizations based in Geneva or abroad, including: Not-for-profit organizations, think-tanks, civil society, nongovernmental organizations, not-for-profit educational institutions, and foreign public entities including Public International Organizations and UN organizations. For-Profit organizations or commercial entities are not eligible to apply. Eligible proposals will be subject to compliance of U.S. Federal and Public Diplomacy regulations and guidelines and may also be reviewed by the Office of the Legal Adviser or by other State Department elements. Proposals will be funded based on an evaluation of how the proposal meets the solicitation review criteria, U.S. foreign policy objectives, and Mission priorities.</t>
  </si>
  <si>
    <t>This Notice of Funding Opportunity (NOFO) outlines funding priorities, strategic areas of focus, and instructions for submitting requests for funding. Please follow all instructions carefully. 
Through its Small Grants Program, the United States Mission in Geneva is accepting project proposals that promote U.S. policy priorities in the multilateral sphere. Project should be aimed at international (not U.S.) audiences, and impact should resonate in Geneva`s multilateral environment. Projects should be implemented by an organization or individual with a presence in Geneva and/or be carried out in Geneva itself.
U.S. Mission Genevaâ€™s Small Grants Program supports projects that include, but are not limited to, the following priority areas: 
Â·  Promoting human rights, including the protection of human rights defenders
Â· Monitoring and managing the response to humanitarian crises
Â· Strengthening global public health and global health security systems
Â· Mobilizing action on climate change 
Â· Promoting transparency, accountability, and efficiency in the UN system
Â· Advancing gender across the range of Mission Genevaâ€™s priority areas
Authorizing legislation, type and year of funding: FY23 Fulbright Hays Public Diplomacy Funds
Awards will be made to successful applicants subject to the availability of appropriated funds.
For further details about the program and how to apply, please see the full notice at the link below.</t>
  </si>
  <si>
    <t>Integrated Preclinical / Clinical AIDS Vaccine Development Program (IPCAVD) (U19 Clinical Trial Not Allowed)</t>
  </si>
  <si>
    <t>The purpose of this Funding Opportunity Announcement (FOA) is to support translation of advanced HIV-1 vaccine candidates from pre-clinical studies through different phases of process and product development, Current Good Manufacturing Practice (CGMP) manufacturing and regulatory filing to the point of clinical testing. The FOA will support technology transfer, preclinical immunogenicity and optimization studies, process development, analytical assay development, qualification, validation, testing, small scale pilot or engineering runs, CGMP manufacture in partnership with Pharma/Biotech/Contract Manufacturing Organizations (CMO), quality assurance/quality control oversight, fill-finish activities, product release and storage, generation of reference standard, drug substance and drug product stability testing programs, Investigational New Drug (IND)-enabling studies, regulatory submission preparation.</t>
  </si>
  <si>
    <t>Biology Integration Institutes</t>
  </si>
  <si>
    <t>Biology has transformed science over the last century through discoveries that cross subdisciplines from the molecular to the organismal to the ecosystem level. While making great progress, biology has also slowly fragmented into subdisciplines, creating a dynamic tension between unifying principles and increasingly reductionist pursuits. The aim of this solicitation is to bring researchers together around the common goal of understanding how the processes that sustain life and enable biological innovation operate and interact within and across different scales of organization, from molecules to cells, tissues to organisms, species, ecosystems, biomes and the entire Earth. The Biology Integration Institutes (BII) program supports collaborative teams of researchers investigating questions that span multiple disciplines within and beyond biology.
Integration across biological disciplines is essential if we hope to understand the diverse and ever-increasing data streams of modern biology and tackle emergent questions about living organisms and the environment. Of equal importance is the need for groundbreaking and sustainable training programs that prepare the next generations of scientists to navigate the breadth of biological sciences, training in multiple disciplines without sacrificing depth of learning or innovation. In addition, the biology community must continue to develop practices and adopt strategies that leverage rapid advances in cyberinfrastructure and other technologies to bridge and integrate across subdisciplines and make resources accessible, re-usable, and adaptable for unanticipated purposes. In these ways, Biology Integration Institutes will focus on biological themes that enable the discoveries of life s innovations. The outcomes from biological integration will inspire new biotechnologies and applications to drive our bioeconomy and provide solutions to societal challenges. While this solicitation focuses on the integration of biological subdisciplines, any field beyond biology may be included as needed to address the overarching biological theme.</t>
  </si>
  <si>
    <t>Improving Undergraduate STEM Education: Directorate for STEM Education</t>
  </si>
  <si>
    <t>Synopsis of Program:
The fields of science, technology, engineering, and mathematics (STEM) hold much promise as sectors of the economy where we can expect to see continuous vigorous growth in the coming decades. STEM job creation is expected to outpace non-STEM job creation significantly, according to the Commerce Department, reflecting the importance of STEM knowledge to the US economy.
The National Science Foundation (NSF) plays a leadership role in developing and implementing efforts to enhance and improve STEM education in the United States. Through the NSF Improving Undergraduate STEM Education (IUSE) initiative, the agency continues to make a substantial commitment to the highest caliber undergraduate STEM education through a Foundation-wide framework of investments. The IUSE: EDU is a core NSF STEM education program that seeks to promote novel, creative, and transformative approaches to generating and using new knowledge about STEM teaching and learning to improve STEM education for undergraduate students. The program is open to application from all institutions of higher education and associated organizations. NSF places high value on educating students to be leaders and innovators in emerging and rapidly changing STEM fields as well as educating a scientifically literate public. In pursuit of this goal, IUSE: EDU supports projects that seek to bring recent advances in STEM knowledge into undergraduate education, that adapt, improve, and incorporate evidence-based practices into STEM teaching and learning, and that lay the groundwork for institutional improvement in STEM education. In addition to innovative work at the frontier of STEM education, this program also encourages replication of research studies at different types of institutions and with different student bodies to produce deeper knowledge about the effectiveness and transferability of findings.
IUSE: EDU also seeks to support projects that have high potential for broader societal impacts, including improved diversity of students and instructors participating in STEM education, professional development for instructors to ensure adoption of new and effective pedagogical techniques that meet the changing needs of students, and projects that promote institutional partnerships for collaborative research and development. IUSE: EDU especially welcomes proposals that will pair well with the efforts of NSF INCLUDES (https://www.nsf.gov/news/special_reports/nsfincludes/index.jsp) to develop STEM talent from all sectors and groups in our society.
For all the above objectives, the National Science Foundation invests primarily in evidence-based and knowledge-generating approaches to understand and improve STEM learning and learning environments, improve the diversity of STEM students and majors, and prepare STEM majors for the workforce. In addition to contributing to STEM education in the host institution(s), proposals should have the promise of adding more broadly to our understanding of effective teaching and learning practices.
The IUSE: EDU program features two tracks: (1) Engaged Student Learning and (2) Institutional and Community Transformation.</t>
  </si>
  <si>
    <t>Expanding AI Innovation through Capacity Building and Partnerships</t>
  </si>
  <si>
    <t xml:space="preserve">Others (see text field entitled "Additional Information on Eligibility" for clarification) *Who May Submit Proposals: Proposals may only be submitted by the following:
  - 
 Proposals may be submitted only by a minority-serving college or university meeting the criteria listed under 'Eligible Institutions of Higher Education' in this program solicitation. 
 Only eligible organizations that have received an official Program Officer Concurrence Email inviting a full proposal may submit a full proposal. To receive the invitation, potential proposers must submit a Concept Outline document and receive an official response (via email) from a cognizant Program Director.Please see section V.A for details. 
*Who May Serve as PI:
The Principal Investigator must hold a full-time faculty appointment or be a senior administrator at an eligible Institution as defined in the 'Eligible Institutions of Higher Education' section.
 In PARTNER proposals only, a co-PI must be identified to represent each partnering AI Institute. That co-PI must be verified by the Institute Director in the Institute Integration Plan as being among the senior/key personnel of the institute. </t>
  </si>
  <si>
    <t xml:space="preserve">
The National Science Foundation and its partners support the continued growth of a broad and diverse interdisciplinary research community for the advancement of AI and AI-powered innovation, providing a unique opportunity to broadly promote the NSF vision and core values, especially inclusion and collaboration. TheExpanding AI Innovation through Capacity Building and Partnerships (ExpandAI) program aims to significantly broaden participation in AI research, education, and workforce development through capacity development projects and through partnerships within the National AI Research Institutes ecosystem.
</t>
  </si>
  <si>
    <t>Biological Anthropology Program Senior Research Awards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</si>
  <si>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-Tribal Nations: An American Indian or Alaska Native tribe, band, nation, pueblo, village, or community that the Secretary of the Interior acknowledges as a federally recognized tribe pursuant to the Federally Recognized Indian Tribe List Act of 1994, 25 U.S.C.   5130-5131.
*Who May Serve as PI:
PIs and co-PIs must be researchers who have a Ph.D. or equivalent education and experience, sufficient to allow them to carry out independent basic research. PIs of senior proposals are encouraged to include undergraduate and graduate students in their research projects, but not as PI/co-PI or senior key personnel.</t>
  </si>
  <si>
    <t>The Biological Anthropology Program seeks to advance scientific knowledge about the processes that have shaped biological diversity in living and fossil humans and their primate relatives through support of basic research on human and primate evolution, biological variation, and interactions between biology, behavior, and culture. The program supports a portfolio of research that demonstrates engagement with biological anthropological and evolutionary theory; includes diverse and interdisciplinary methods in field, laboratory and computational settings; encompasses multiple levels of analysis (e.g., molecular, organismal, population, ecosystem) and time scales from the short-term to evolutionary; and considers the ethical implications and societal impacts of the research. The program also supports a wide range of broader impact activities as part of research grants, including research outcomes with inherent benefit to society, efforts to broaden participation in science, technology, engineering, and mathematics (STEM) research, training and outreach activities and other evidence-based activities developed within the context of the mission, goals, and resources of the organizations and people involved.</t>
  </si>
  <si>
    <t>Biological Anthropology Program  -  Doctoral Dissertation Research Improvement Grants</t>
  </si>
  <si>
    <t>Others (see text field entitled "Additional Information on Eligibility" for clarification) *Who May Submit Proposals: Proposals may only be submitted by the following:
  -
Institutions of Higher Education (IHEs) - Ph.D. granting IHEs accredited in, and having a campus located in, the U.S. acting on behalf of their faculty members.
*Who May Serve as PI:
DDRIG proposals must be submitted through regular organizational channels by the dissertation advisor(s) on behalf of the graduate student. The principal investigator (PI) is the faculty member serving as the doctoral student's dissertation advisor and the co-principal investigator (Co-PI) is the doctoral student enrolled at the same U.S. IHE. If appropriate, and at the discretion of the submitting institution, an additional faculty advisor at the same or another institution may be listed as another Co-PI. The doctoral student must be the author of the proposal. At the time of the submission window, doctoral students are expected to be at the appropriate stage of their academic career to enable submission of a finalized dissertation proposal, most typically very near, or having advanced to candidacy for the Ph.D. degree.</t>
  </si>
  <si>
    <t>The Biological Anthropology Program seeks to advance scientific knowledge about the processes that have shaped biological diversity in living and fossil humans and their primate relatives through support of basic research on human and primate evolution, biological variation, and interactions between biology, behavior and culture. The program supports a portfolio of research that demonstrates engagement with biological anthropological and evolutionary theory; includes diverse and interdisciplinary methods in field, laboratory and computational settings; encompasses multiple levels of analysis (e.g., molecular, organismal, population, ecosystem) and time scales from the short-term to evolutionary; and considers the ethical implications and societal impacts of the research. The program also supports a wide range of broader impact activities as part of research grants, including research outcomes with inherent benefit to society, efforts to broaden participation in science, technology, engineering, and mathematics (STEM) training, research and outreach activities and other evidence-based activities developed within the context of the mission, goals and resources of the organizations and people involved.
The program contributes to the integration of education and basic research through support of dissertation projects conducted by doctoral students enrolled in U.S. universities. This solicitation specifically addresses the preparation and evaluation of proposals for Doctoral Dissertation Research Improvement Grants (DDRIG). Dissertation research projects in all of the subareas of biological anthropology are eligible for support through these grants. These awards are intended to enhance and improve the conduct of dissertation research by doctoral students who are pursuing research in biological anthropology that enhances basic scientific knowledge.</t>
  </si>
  <si>
    <t>Atmospheric and Geospace Sciences Postdoctoral Research Fellowships</t>
  </si>
  <si>
    <t>Others (see text field entitled "Additional Information on Eligibility" for clarification) *Who May Submit Proposals: Proposals may only be submitted by the following:
  -
AGS Postdoctoral Research Fellowship proposals are submitted to NSF directly by individuals who meet the eligibility criteria described below. Each individual (also referred to as proposer) must identify one or more scientific mentor(s) and host institution(s) in the proposal. Activities supported by the AGS Fellowship program may be conducted at any appropriate U.S. host institution as defined in the Program Description.
*Who May Serve as PI:
An individual is eligible to submit a proposal to the NSF AGS Postdoctoral Research Fellowship program if all the following criteria are met:
_x000D_
Individual eligibility criteria:
_x000D_
 _x000D_
 Be U.S. citizens (or nationals) or legally admitted permanent residents of the United States (i.e., have a  green card ) at the time the proposal is submitted. _x000D_
 Present research and professional development plans that fall within the purview of the Atmospheric and Geospace Science Sections within the Division of Atmospheric and Geospace Sciences at NSF ( a href= _x000D_
 Meet one of the following criteria: _x000D_
 _x000D_
_x000D_
_x000D_
 _x000D_
 be currently a graduate student; _x000D_
 _x000D_
 OR_x000D_
 _x000D_
 have held a PhD degree in a scientific or engineering field for no more than 2 years at time of submission; _x000D_
 _x000D_
 OR_x000D_
 _x000D_
 have less than the equivalent of 18 months full time employment at time of submission if more than 2 years have elapsed since the PhD degree was conferred. To affirm eligibility under this criterion, the proposer must include specific language in the Biographical Sketch. _x000D_
 _x000D_
_x000D_
_x000D_
_x000D_
Fellowship location criteria:
_x000D_
 _x000D_
 Proposers are encouraged to expand the network of collaborators and implement the Fellowship at an institution new to the proposer. However, proposers who choose to carry out the postdoctoral Fellowship at the institution where they received their PhD or their current institution at the time of submission must meet these three conditions: (1) have been at this institution for at least 12 months at the time of submission; (2) present a strong justification and clearly explain the benefits of this choice to their research and professional development goals; and (3) have two scientific mentors, one at the hosting institution and a second mentor at a different institution and/or department who is a new collaborator with the proposer. _x000D_
 _x000D_
 _x000D_
 National centers, facilities or institutes funded by other federal agencies, such as NASA, NOAA, EPA or the U.S. Department of Energy, are ineligible as host institutions. _x000D_
 _x000D_
If a proposer fails to meet any eligibility criterion, their proposal will be returned without review. Proposers uncertain about the eligibility requirements are strongly encouraged to contact a cognizant NSF Program Officer listed in this solicitation.
_x000D_
 span style= text-decoration: underline; Awardees must begin the Fellowship within 6 months of notification of an award . NSF review typically takes 3-6 months. If you are a current graduate student, please consider the review timeframe in your decision when to apply. Awardees who have not received their PhD at the time of proposal submission must present a form certifying their PhD prior to starting a Fellowship.
_x000D_
Proposals that fail to meet the above eligibility requirements will be returned without review.
_x000D_
By signing and submitting the proposal, the fellowship candidate is certifying that they meet the eligibility criteria specified in this program solicitation. Willful provision of false information in this request and its supporting documents or in reports required under an ensuing award is a criminal offense (U.S. Code, Title 18, Section 1001).</t>
  </si>
  <si>
    <t>The Division of Atmospheric and Geospace Sciences (AGS), awards Postdoctoral Research Fellowships (PRF) to highly qualified early career investigators to carry out an independent research program. The research plan of each Fellowship must address scientific questions within the scope of AGS disciplines. These disciplines include Atmospheric Chemistry (ATC), Climate and Large-Scale Dynamics (CLD), Paleoclimate (PC), and Physical and Dynamic Meteorology (PDM) in the Atmospheric Sciences, and Aeronomy (AER), Magnetospheric Physics (MAG), Solar Terrestrial (ST), and Space Weather Research (SWR) in the Geospace Sciences.
_x000D_
The AGS-PRF program supports researchers (also known as Fellows) for a period of up to 24 months with Fellowships that can be taken to the institution of their choice. The program is intended to recognize beginning investigators of significant potential and provide them with experiences in research that will broaden perspectives, facilitate interdisciplinary interactions, and help establish them in leadership positions within the Atmospheric and Geospace Sciences community. Fellowships are awards to individual Fellows, not institutions, and are administered by the Fellows.
_x000D_
AGS has made it a priority to address challenges in creating an inclusive geoscience discipline through activities that increase belonging, accessibility, justice, equity, diversity, and inclusion (BAJEDI). Proposers are encouraged to explicitly address this priority in their proposed activities. Proposers who are women, veterans, persons with disabilities, and underrepresented minorities in science, technology, engineering, and mathematics (STEM), or who have attended two-year colleges and minority-serving institutions for undergraduate or graduate school, or plan to conduct their Fellowship activities at one of these institutions (e.g. Historically Black Colleges and Universities, Tribal Colleges and Universities, Hispanic Serving Institutions, Alaska Native Serving Institutions, and Hawaiian Native and Pacific Islander Serving Institutions) are especially encouraged to apply.</t>
  </si>
  <si>
    <t>Office of Polar Programs Postdoctoral Research Fellowships</t>
  </si>
  <si>
    <t>Others (see text field entitled "Additional Information on Eligibility" for clarification) *Who May Submit Proposals: Proposals may only be submitted by the following:
  -
Fellowship proposals must be submitted directly by the Fellowship candidate to NSF. Each Fellowship candidate must identify a scientific mentor(s) and must affiliate with a U.S. host organization. Appropriate primary host organizations include:
 Institutions of Higher Education (IHEs) Two-and four-year IHEs (including community colleges) accredited in, and having a campus located in the U.S., acting on behalf of their faculty members. 
 Non-profit, Non-academic organizations -Independentmuseums, observatories,research laboratories, professional societies and similar organizations located in the U.S. that are directly associated with educational or research activities. 
 For-profit research organizations   U.S. commercial organizations, especially small businesses with strong capabilities in scientific or engineering research or education. 
*Who May Serve as PI:
To be eligible to submit a proposal to the OPP-PRF Program, an individual must, as of the full proposal target date, meet all of the following criteria:
 ul type= 
 Be a U.S. citizen, national, or permanent resident (i.e., have a  green card ) at the time the proposal is submitted. 
 Have earned the doctoral degree, or expect to have earned the doctoral degree, prior to the required start date of the fellowship. 
 Not have worked for more than a total of 24 full-time-equivalent months in positions that require the doctoral degree. 
 Provide a project plan that is appropriate for one of OPP s research programs. 
Prospective fellows are encouraged to implement the PRF at an institution new to the candidate, since the objectives of the fellowships include broadening the perspectives and experiences of the Fellows and promoting interdisciplinary research careers. However, NSF recognizes that moving to a new location for a two-year position may not be an option for all candidates, and therefore, proposals to remain at a candidate s current institution are allowed. If a candidate proposes to be hosted by their graduate/current institution, they must clearly explain the benefits of this choice to their research and to their professional development goals.
Proposals that fail to meet the above eligibility requirements may be returned without review.
By signing and submitting the proposal, the fellowship candidate is certifying that they meet the eligibility criteria specified in this program solicitation. Willful provision of false information in this request and its supporting documents or in reports required under an ensuing award is a criminal offense (U.S. Code, Title 18, Section 1001).</t>
  </si>
  <si>
    <t>The Office of Polar Programs (OPP) offers postdoctoral research fellowships (PRF) to provide opportunities for early career scientists, including social scientists, to accomplish one or more of the following goals: expand their work across traditional disciplinary lines, develop new partnerships connecting the polar regions and/or non-polar research communities, and provide entry to researchers who have traditionally had limited access to polar research resources, sites and facilities.The fellowship program encourages the integration of new investigators who have not previously worked in polar regions and/or innovative techniques that have not previously been applied to polar science into polar research. Additionally, the OPP-PRF aims to support beginning investigators with experiences that will establish them in positions of leadership in the scientific community. During their tenure, Fellows will affiliate with a host research institution(s) and conduct research on topics supported by OPP. Successful proposers will participate in a professional development program that will promote mentoring skills and coordinate theirinvolvement in activities that increase the engagement of groups that have previously had limited engagement in polar Science, Technology, Engineering, and Mathematics (STEM).
Prospective fellows must be U.S. citizens, nationals or permanent residents. Proposers who are women, veterans, persons with disabilities, and underrepresented minorities in STEM, or who have attended community colleges and minority-serving institutions (e.g., Historically Black Colleges and Universities, Tribal Colleges and Universities, Hispanic Serving Institutions, Alaska Native Serving Institutions, and Hawaiian Native and Pacific Islander Serving Institutions) are especially encouraged to apply.
Fellowshipproposals must be submitted by individuals. However, if an award is recommended, the proposal will be transferred to the host institution wherethe postdoctoral Fellowwill be named as the PI. The award will be issued to the host institution as a regular research award, and the award will be administered by the host institution(s).</t>
  </si>
  <si>
    <t>BIL: CARBON CAPTURE TECHNOLOGY PROGRAM, FRONT-END ENGINEERING AND DESIGN FOR CARBON DIOXIDE (CO2) TRANSPORT</t>
  </si>
  <si>
    <t>Unrestricted (i.e., open to any type of entity above), subject to any clarification in text field entitled "Additional Information on Eligibility" See Section III of the Funding Opportunity Announcement for a full description of the eligibility information.</t>
  </si>
  <si>
    <t>BIL: CARBON CAPTURE TECHNOLOGY PROGRAM, FRONT-END ENGINEERING AND DESIGN FOR CARBON DIOXIDE (CO2) TRANSPORT
This funding opportunity announcement (FOA) will fund Front-End Engineering and Design (FEED) studies that support and accelerate the planning for CO2 transport by a variety of modes. Due to the immediate need for CO2 transport servicing multiple points of capture and one or more points of storage, the first round of solicited applications will prioritize CO2 pipeline projects with two or more carbon capture sources connected to one or more secure geologic storage locations and/or to one or more CO2 conversion locations. The CO2 must be derived only from anthropogenic sources which could include CO2 derived by direct capture from ambient air and must be delivered to CO2 conversion sites or secure geologic storage facilities.
Modification 000004 is to add a fourth closing and update various terms in different sections of the FOA. Please see full FOA document for a detailed list of the changes.</t>
  </si>
  <si>
    <t>Time-Sensitive Opportunities for Health Research (R61/R33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</si>
  <si>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apply.Non-domestic (non-U.S.) components of U.S. Organizations are eligible to apply.Foreign components, as defined in the NIH Grants Policy Statement, are allowed.</t>
  </si>
  <si>
    <t>This Funding Opportunity Announcement (FOA) establishes an accelerated review/award process to support research to understand health outcomes related to an unexpected and/or time-sensitive event (e.g., emergent environmental threat; pandemic; change in local, state, or national policy; natural disaster). Applications in response to this FOA must demonstrate that the research proposed is time-sensitive and must be initiated with minimum delay due to a limited window of opportunity to collect baseline data, answer key research questions, and/or prospectively evaluate a new policy or program. This FOA is intended to support opportunities in which empirical study could only be available through expedited review and funding, necessitating a substantially shorter process than the typical NIH grant review/award cycle. The time from submission to award is expected to occur within 4-5 months. However, administrative requirements and other unforeseen circumstances may delay issuance dates beyond that timeline.</t>
  </si>
  <si>
    <t>Science and Technology Studies</t>
  </si>
  <si>
    <t>Others (see text field entitled "Additional Information on Eligibility" for clarification) *Who May Submit Proposals: Proposals may only be submitted by the following:
  -
Organization limit varies by the type of proposal:
 Standard Research Grants and Grants for Collaborative Research: U.S. Institutions of Higher Education and U.S. Non-profit, Non-academic Organizations. 
 Scholars Awards: U.S. Institutions of Higher Education and U.S. Non-profit, Non-academic Organizations. 
 Professional Development Grants: U.S. Institutions of Higher Education and U.S. Non-profit, Non-academic Organizations. 
 Research Community Development Grants: U.S. Institutions of Higher Education and U.S. Non-profit, Non-academic Organizations. 
 Doctoral Dissertation Research Improvement Grants: U.S. Institutions of Higher Education. 
 ConferenceSupport: No limitations. 
See the  a href= for a description of each eligible category of proposer
*Who May Serve as PI:
 br / PI eligibility limit varies by the type of proposal. See Section II. Program Description for detailed information about each type of proposal.</t>
  </si>
  <si>
    <t xml:space="preserve">Synopsis of Program:
Science and Technology Studies (STS) is an interdisciplinary field that investigates the conceptual foundations, historical developments and social contexts of science, technology, engineering and mathematics (STEM), including medical science. The STS program supports proposals across a broad spectrum of research that uses historical, philosophical and social scientific methods to investigate STEM theory and practice. STS research may be empirical or conceptual; specifically, it may focus on the intellectual, material or social facets of STEM including interdisciplinary studies of ethics, equity, governance and policy issues.
Additional Resources
SBE Office of Multidisciplinary Activities (SMA)
Convergence Accelerator (C-Accel)
</t>
  </si>
  <si>
    <t>Specialized Centers of Research Excellence (SCORE) on Sex Differences (U54 Clinical Trial Optional)</t>
  </si>
  <si>
    <t>State governments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</si>
  <si>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ORWH and participating organizations and institutes seek applications for Specialized Centers of Research Excellence (SCORE) on Sex Differences. The Centers of Excellence will support interdisciplinary approaches to advance translational research on sex differences. Each SCORE institution should develop a research agenda bridging basic and clinical research underlying a health issue that is pertinent to improving the health of women.</t>
  </si>
  <si>
    <t>Postbaccalaureate Research Education Program (PREP)(R25 - Independent Clinical Trial Not Allowed)</t>
  </si>
  <si>
    <t>Others (see text field entitled "Additional Information on Eligibility" for clarification)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Non-domestic (non-U.S.) Entities (Foreign Institutions) are not eligible to apply  Non-domestic (non-U.S.) components of U.S. Organizations are not eligible to apply.  Foreign components, as defined in the NIH Grants Policy Statement, are not allowed.</t>
  </si>
  <si>
    <t>This funding opportunity announcement (FOA) provides support to eligible, domestic institutions to develop and implement effective, evidence-informed approaches to biomedical research education and mentoring that will keep pace with the rapid evolution of the research enterprise. NIGMS expects that the proposed research education programs will incorporate extensive research experiences, well-designed courses for skills development, mentoring, cohort building activities, and career development elements to prepare recent baccalaureates from diverse backgrounds to transition into and complete rigorous research-focused doctoral degree programs (e.g., Ph.D. or M.D./Ph.D.) in biomedical fields. This program is limited to applications from doctoral degree-granting research-intensive institutions.This Funding Opportunity Announcement (FOA) does not allow appointed participants to lead an independent clinical trial but does allow them to obtain research experience in a clinical trial led by a mentor or co-mentor.</t>
  </si>
  <si>
    <t>NSF Dynamic Language Infrastructure - NEH Documenting Endangered Languages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</si>
  <si>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Tribal organizations and other American Indian, Alaska Native, and Native Hawaiian serving organizations.
*Who May Serve as PI:
There are no program-specificrestrictions or limits.</t>
  </si>
  <si>
    <t>This funding partnership between the National Science Foundation (NSF) and the National Endowment for the Humanities (NEH) supports projects to develop and advance knowledge concerning dynamic language infrastructure in the context of endangered human languages   languages that are both understudied and at risk of falling out of use. Made urgent by the imminent loss of roughly half of the approximately 7,000 currently used languages, this effort aims to exploit advances in human-language technology to build computational infrastructure for endangered language research. The program supports projects that contribute to data management and archiving, and to the development of the next generation of researchers. Funding can support fieldwork and other activities relevant to the digital recording, documentation and analysis, and archiving of endangered language data, including the preparation of lexicons, grammars, text samples, and databases. Funding is available in the form of one- to three-year senior research grants and conference proposals. Fellowship support is available through a separate funding opportunity administered by NEH.
Note: a conference proposal should generally be submitted at least a year in advance of the scheduled date of the conference. For additional information about creating and submitting conference proposals, please refer to PAPPG Chapter II. E.9.</t>
  </si>
  <si>
    <t>Dynamic Language Infrastructure-Doctoral Dissertation Research Improvement Grants</t>
  </si>
  <si>
    <t>Others (see text field entitled "Additional Information on Eligibility" for clarification) *Who May Submit Proposals: Proposals may only be submitted by the following:
  -
Institutions of Higher Education (IHEs) - Ph.D granting IHEs accredited in, and having a campus located in the U.S. acting on behalf of their faculty members.
*Who May Serve as PI:
DLI-DDRI proposals must be submitted with a principal investigator (PI) and a co-principal investigator (co-PI). The PI must be the advisor of the doctoral student or another faculty member at the U.S.IHE where the doctoral student is enrolled. The doctoral student must be the co-PI.</t>
  </si>
  <si>
    <t>This program supports doctoral research focusing on building dynamic language infrastructure (DLI). Developing language infrastructure includes the documentation and preservation of languages in ways that articulate or advance linguistic theory, as well as the use of digitization techniques and novel computational methods that support and advance the study of language. Special emphasis is given to languages that are endangered, i.e., understudied and at risk of falling out of use. The program supports the development of the next generation of researchers that contribute to language data management and archiving and to the analysis of these archives to advance language infrastructure. Funding can support fieldwork and other activities relevant to the digital recording, documenting and archiving of endangered languages, including the preparation of lexicons, grammars, text samples and databases. Funding in this solicitation is in the form of doctoral dissertation research improvement grants (DDRIs) for up to 24 months and this solicitation addresses the preparation and evaluation of proposals for DDRI proposals.</t>
  </si>
  <si>
    <t>Computational and Data-Enabled Science and Engineering in Mathematical and Statistical Sciences</t>
  </si>
  <si>
    <t>The CDS E-MSS program accepts proposals that engage with the mathematical and statistical challenges presented by (1) the ever-expanding role of computational experimentation, modeling, and simulation on the one hand, and (2) the explosion in production and analysis of digital data from experimental and observational sources on the other. The goal of the program is to promote the creation and development of the next generation of mathematical and statistical software tools, and the theory underpinning those tools, that will be essential for addressing these challenges.
The research supported by the CDS E-MSS program will aim to advance mathematics or statistics in a significant way and will address computational or big-data challenges. Proposals of interest to the program must include a Principal Investigator or co-Principal Investigator who is a researcher in an area supported by the Division of Mathematical Sciences. The program welcomes submission of proposals that include multidisciplinary collaborations or provide opportunities for training through research involvement of junior mathematicians or statisticians.This program is part of the wider NSFComputational and Data-enabled Science and Engineering (CDS E) enterprise.</t>
  </si>
  <si>
    <t>Inclusion IIb</t>
  </si>
  <si>
    <t>The United States Agency for International Development (USAID) in Vietnam (USAID/Vietnam) is seeking applications for a Cooperative Agreement from qualified entities to implement the â€œInclusion IIbâ€ program. The project aims to improve the quality of life of persons with disabilities. Under this NOFO, selected applicant(s) will be working in both provinces of Binh Dinh and Kon Tum (Vietnam).</t>
  </si>
  <si>
    <t>Division of Chemistry: Disciplinary Research Programs: No Deadline Pilot</t>
  </si>
  <si>
    <t xml:space="preserve">With this solicitation, the Division of Chemistry is piloting the removal of deadlines for the submission of proposals to the CLP, CSD and CTMC Programs.
The no-deadline pilot seeks to assess the benefits and challenges of removing deadlines in proposal submission for the chemistry research community: the removal of deadlines on proposal submission is intended to allow principal investigators (PIs) more flexibility and better facilitate interdisciplinary research. It may, however, have unanticipated consequences for PIs, reviewers, and institutions.
This solicitation applies only to the Chemistry of Life Processes (CLP), Chemical Structure and Dynamics (CSD), and Chemical Theory, Models and Computational Methods (CTMC) programs. Other than the following exceptions, all proposals submitted to the CLP, CSD, and CTMC programs must be submitted through this solicitation, otherwise they will be returned without review.
Exceptions:
Faculty Early Career Development Program (CAREER) proposals should be submitted through the CAREER solicitation (https://www.nsf.gov/funding/pgm_summ.jsp?pims_id=503214) by the CAREER deadline date specified.
Facilitating Research at Primarily Undergraduate Institutions: Research in Undergraduate Institutions (RUI) and Research Opportunity Awards (ROA) proposals should be submitted through the RUI/ROA solicitation (https://www.nsf.gov/funding/pgm_summ.jsp?pims_id=5518). In addition to the requirements of the RUI program, proposals should follow the guidance in this solicitation. Proposals submitted through the RUI/ROA solicitation to the CLP, CSD, and CTMC programs can be submitted at any time starting September 1, 2022.
Proposals for Early-concept Grants for Exploratory Research (EAGER), Grants for Rapid Response Research (RAPID), Research Advanced by Interdisciplinary Science and Engineering (RAISE), and conferences can be submitted anytime after consultation with the cognizant NSF Program Officer.
Supplemental funding requeststo existing grantscan be submitted anytime after consultation with the cognizant NSF Program Officer.
</t>
  </si>
  <si>
    <t>Mid-Career Advancement</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</si>
  <si>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PIs must be a) at the Associate Professor rank (or equivalent; see Additional Eligibility Information) and b) at that rank for at least 3 years by the proposal submission date. PIs must have current or proposed research that falls within the purview of aparticipating disciplinary program.
 Pilot PUI Track in Directorates for Biological Sciences and Geosciences only, extends PI eligibility: Researchers atthe Full Professor rank (or equivalent; see Additional Eligibility Information) at PUI institutions only and with proposed researchthat falls within the purview of a participating program within the Directorate for Biological Sciences or the Directorate for Geosciences may also apply. 
The collaborative partner(s) may not be listed as co-principal investigator(s) on the cover page. Instead the partner(s) should be designated as senior/key personnel or consultants.</t>
  </si>
  <si>
    <t>The MCA program offers an opportunity for scientists and engineers at the mid-career stage (see restrictions under Additional Eligibility Information) to substantively enhance and advance theirresearch program and career trajectory. Mid-career scientists are at a critical career transition stage where they need to advance their research programs to ensure long-term productivity and creativity but are often constrained by service, teaching, or other activities that limit the amount of time devoted to research. MCA support is expected to help lift these constraints to reduce workload inequities and enable a more diverse scientific workforce (more women, persons with disabilities, and individuals from groups that have been underrepresented) at high academic ranks.
The MCA program provides protected time, resources, and the means to gain new skills through synergistic and mutually beneficial partnerships, typically at an institution other than the candidate's home institution. Partners from outside the Principal Investigator's (PI) own subdiscipline or discipline are encouraged, but not required, to enhance interdisciplinary networking and convergence across science and engineering fields. Research projects that envision new insights on existing problems or identify new problems made accessible with cutting-edge methodology or expertise from other fields are encouraged.
A key component of a successful MCA will be the demonstration that the PI's currentresearchprogram could substantively benefit from the protected time, mentored partnership(s), and resources provided through this program, such thatthere is a substantial enhancement to the PI's research and career trajectory, enabling scientific and academic advancementnot likely without this support.
The MCA is the only cross-directorate NSF program specifically aimed at providing protected time and resources to established scientists and engineers targeted at the mid-career stage.Participating programs in the Directorates for Biological Sciences (BIO), Geosciences (GEO), Social, Behavioral and Economic Sciences (SBE), Education and Human Resources (EHR), and Technology, Innovation and Partnerships (TIP) will accept MCA proposals. To help identify the disciplinary program in which the MCA should be reviewed, PIs are urged to investigate the research areas supported by the different directorates and participating programs.
PIs are strongly encouraged to discuss the suitability of their MCA proposal with a Program Officer from the appropriate directorate (seehttps://new.nsf.gov/funding/opportunities/mca-mid-career-advancement/announcements/111199).PIs from EPSCoR jurisdictions are especially encouraged to apply.</t>
  </si>
  <si>
    <t>Resources Access for Preclinical Integrated Drug Development (RAPIDD) Program (X01 Clinical Trial Not Allowed)</t>
  </si>
  <si>
    <t>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</si>
  <si>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purpose of this FOA is to provide a method for investigators to request gap filling preclinical services to academic and private institutions to assist with product development efforts and facilitate the advancement of promising therapeutics for HIV and HIV-associated co-infections (Hepatitis B, Hepatitis C and Tuberculosis).</t>
  </si>
  <si>
    <t>Young Southeast Asian Leaders Initiative - Mekong Leadership Program</t>
  </si>
  <si>
    <t>Others (see text field entitled "Additional Information on Eligibility" for clarification) Organizations eligible to apply under this NOFO includes non-profit or for-profit non-governmental organizations, inclusive of, foundations, colleges and universities, private businesses and associations and excludes public international organizations and governmental organizations.</t>
  </si>
  <si>
    <t>The United States Agency for International Development in Vietnam (USAID/Vietnam) is seeking applications from qualified entities to implement the Young Southeast Asian Leaders Initiative (YSEALI) - Mekong Leadership Program. The overall objective of this activity is to expand the YSEALI with a particular focus on the Mekong sub-region. Drawing on experience from the Young African Leaders Initiative - Regional Leadership Centers, this activity proposes to establish a YSEALI - Mekong Leadership Program (YSEALI-MLP).</t>
  </si>
  <si>
    <t>National Cooperative Drug/Device Discovery/Development Groups (NCDDG) for the Treatment of Mental Disorders or Alcohol Use Disorder (U19 Clinical Trial Optional)</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</si>
  <si>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t>
  </si>
  <si>
    <t>Reissue of PAR-20-119. This FOA encourages applications to advance the discovery, preclinical development, and proof of concept (PoC) testing of new, rationally based candidate agents and neurostimulation approaches to treat mental disorders, substance use disorders (SUDs) or alcohol use disorder (AUD), and to develop novel ligands and circuit-engagement devices as tools to further characterize existing or to validate new drug/device targets. Partnerships between academia and industry are strongly encouraged. This FOA supports a research program of multiple projects directed toward a specific major objective, basic theme or program goal, requiring a broadly based, multidisciplinary and often long-term approach. Projects seeking support for a discrete, specified, circumscribed project to be performed by the named investigator(s) in an area representing his or her specific interest and competencies should consider the companion U01 FOA.</t>
  </si>
  <si>
    <t>National Cooperative Drug/Device Discovery/Development Groups (NCDDG) for the Treatment of Mental Disorders or Alcohol Use Disorder (U01 Clinical Trial Optional)</t>
  </si>
  <si>
    <t>Public and State controlled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</si>
  <si>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Reissue of PAR-20-118. This FOA encourages applications to advance the discovery, preclinical development, and proof of concept (PoC) testing of new, rationally based candidate agents and neurostimulation approaches to treat mental disorders, substance use disorders (SUDs) or alcohol use disorder (AUD), and to develop novel ligands and circuit-engagement devices as tools to further characterize existing or to validate new drug/device targets. Partnerships between academia and industry are strongly encouraged. This FOA using the U01 mechanism supports a discrete, specified, circumscribed project to be performed by the named investigator(s) in an area representing his or her specific interest and competencies Projects seeking support for a research program of multiple projects directed toward a specific major objective, basic theme or program goal, requiring a broadly based, multidisciplinary and often long-term approach should consider the companion U19 FOA.</t>
  </si>
  <si>
    <t>Tactical Behaviors for Autonomous Maneuver</t>
  </si>
  <si>
    <t>Others (see text field entitled "Additional Information on Eligibility" for clarification) It is our goal for the program to include a diverse group of Applicants with varied long-term interests.Applicants may be institutions of higher education, for-profit, or non-profit organizations. FederallyFunded Research and Development Centers (FFRDC) may propose as well, with effort as allowed bytheir sponsoring agency and in accordance with their sponsoring agency policy. Proposals may consistof teams from any combination of organizations (e.g., prime and subawardees), but this is not arequirement for award and award will only be made to a single entity.</t>
  </si>
  <si>
    <t>**UPDATE 5 APRIL 2024: The proposal submission date has been updated to 24 April 2024. The FOA has been amended to reflect this submission date and include a Question and Answer document based on questions received from interested applicants. Other than the updated proposal submission date in the FOA, the actual FOA Amendment has not been changed. However, the answers provided in the Q A document are considered part of the FOA Amendment.**
**CYCLE 2 UPDATE 20 MARCH 2024 - THE OPPORTUNITY WEBINAR FOR CYCLE 2 WILL BE HELD ONLINE VIA MS TEAMS AT 1500 EDT ON 22 MARCH 2024 AT THE FOLLOWING LINK:
https://dod.teams.microsoft.us/l/meetup-join/19%3adod%3ameeting_5fa41fe6fa874484b473d8a6ba7921c6%40thread.v2/0?context=%7b%22Tid%22%3a%22fae6d70f-954b-4811-92b6-0530d6f84c43%22%2c%22Oid%22%3a%22e9f6fc39-8f22-44e5-8bd0-64f0cde32305%22%2c%22IsBroadcastMeeting%22%3atrue%7d
**UPDATE 14 MARCH 2024 - CYCLE 2 HAS BEEN POSTED TO THE ANNOUNCEMENT. PLEASE REVIEW THE UPDATED ANNOUNCEMENT IN FULL FOR SUBMISSION TIME, UPDATED TOPIC, AND FUNDING AMOUNT AND SCHEDULE CHANGES FROM CYCLE 1**
TACTICAL BEHAVIORS FOR AUTONOMOUS MANEUVER COLLABORATIVE RESEARCH PROGRAM (TBAM-CRP)
Future Army forces will be called upon to operate and maneuver in multi-domain
operations (MDO), against a modern and capable peer adversary. The battlefield of the future
may impose additional constraints on maneuver forces such as disruption in communication as
well as positioning services. To field a highly capable fighting force in this future battlefield,
novel tactics and doctrines leveraging nascent technologies in robotics and autonomous systems
(RAS) will need to be developed. Teams of RAS will serve an increasingly critical role in the
future force to deliver situational awareness, defend key locations or positions, or take point in
dynamic and hazardous situations. Resilience to disruptions, failures, or unexpected scenarios, is
a key quality for teams of RAS to operate alongside other future Army forces. The US Army
Combat Capabilities Development Command (DEVCOM) Army Research Laboratory (ARL) is
focused on developing fundamental understanding and informing the art-of-the-possible for
warfighter concepts through research to greatly improve the scope of mission capabilities of
teams of RAS, develop robust and resilient approaches to plan under extreme conditions of
uncertainty, to learn coordinated strategies for groups of agents to achieve a common objective,
all within a complex maneuver environment including adversaries. The Tactical Behaviors for
Autonomous Maneuver Collaborative Research Program (TBAM-CRP) is focused on developing
and experimentally evaluating coordinated and individual behaviors for small groups of
autonomous agents to learn doctrinal as well as novel tactics for maneuvering in military relevant
environments. The TBAM-CRP will leverage developments in other internal and extramural
programs as well as identify new research directions to find novel solutions to these maneuver
problems in analogical simulations representing complex realistic terrain.
The Tactical Behaviors for Autonomous Maneuver Collaborative Research Program (TBAM-CRP) will
consist of a series of sprint efforts executed with annual program reviews. Each topic will be focused on
addressing a different set of scientific areas which will support the research aims of an associated ARL
researcher from a related internal essential research program (ERP) or mission-funded program.
The TBAM-CRP has been developed in coordination with other related ARL-funded collaborative efforts
(see descriptions of ARL collaborative alliances at https://www.arl.army.mil/business/collaborativealliances/)
and shares a common vision of highly collaborative academia-industry-government
partnerships; however, it will be executed with a program model adapted from the Scalable, Adaptive,
and Resilient Autonomy (SARA), which established a new paradigm for collaborative research. Some
key properties of this new approach are described below:
â€¢ TBAM-CRP sprint topics will be offered on a two-year cycle. Proposals will be solicited for a
possible two-year period structured as a first-year pilot followed by a second-year option where
the option may be awarded based upon progress assessed at an annual review. The FOA will be
amended annually to identify a specific problem statement and scope for that specific cycle. The
topics for each cycle will be chosen to address the long-term program goal.
â€¢ Five new topics (Cycles 1-5) are expected in FY22, 24, 26, 28, 30. Each topic will be carefully
chosen based on the previous accomplishments in the prior cycle(s), the development of new
technologies and capabilities in the broader research and development communities, and the
Armyâ€™s evolving needs for future capabilities.
â€¢ For each topic, funding will be provided to those Recipients selected under a cooperative
agreement (CA).
â€¢ Enhanced Research Program funding from ARL or Other Government Agencies (OGAs) may
become available during a cycle which provides a mechanism for growth and enhancement within
the TBAM-CRP. A proposal should not include any discussion of the Enhanced Research
Program. Recipients receiving a CA will be notified and provided details if the opportunity for
Enhanced Research Program funding becomes available during their award period of
performance.
â€¢ There is no limitation on the place of performance, although on-site collaboration at ARL
facilities and with ARL researchers as well as with other Recipients are encouraged. Research
outcomes in this program must, at the very least, be demonstrated in sophisticated simulations of
relevant environments. Together with ARL collaborators, these results may be adapted for higher
TRL experimentation on surrogate platforms at ARL test facilities such as the Robotics Research
Collaboration Campus (R2C2) at Graces Quarters, Aberdeen Proving Ground, Maryland.
â€¢ Recipients will be furnished with access to the ARL Autonomy Stack software suite as well as all
relevant simulation tools and multi-agent learning support.
â€¢ Recipients will be provided with information about the current state of the Autonomous Systems
Enterprise (ASE) with an overview of developments in the associated collaborative research
alliances including Distributed and Collaborative Intelligent Systems and Technology (DCIST),
Scalable, Adaptive, and Resilient Autonomy (SARA), as well as internal ARL essential research
programs including the AI for Maneuver and Mobility (AIMM), Emerging Overmatch
Technologies (EOT), and Versatile Tactical Power and Propulsion (VICTOR). Capabilities
demonstrated in simulation should reflect significant appropriate developments. This midpoint
review is expected to take place as a mini symposium where Recipients can share results with
one another along with the ARL community to foster further collaboration.
â€¢ At the end of the second year, a capstone demonstration will be executed by those Recipients
receiving an option to their award in a set of simulated relevant environments, either those
environment scenarios provided by the Government and other program performers, or optionally
of a specific environment developed by the Recipient to exhibit their developed capability. Any
system level capability demonstration that can be made with the internal ARL collaborator or
description of capability development and program contribution can also be made at this time.
These system demonstrations are expected to coincide to foster further integration and adoption
with related internal research programs as well as partner organizations from within the
DEVCOM, other Army and DoD service branches and agencies, in addition to other government
agencies.
Proposals that follow the requirements of the FOA will be evaluated in accordance with merit-based,
competitive procedures. These procedures will include evaluation factors and an adjectival and color
rating system. A review team, consisting of a qualified group of Government scientists and managers
will evaluate the compliant proposals and provide the results of that evaluation to the decision-maker for
the Government. Relevant internal research program materials approved for public release and contact
information will be provided to potential proposers during introductory presentations to help facilitate
identification of collaboration between proposers and individual ARL researchers or internal research
programs. Additional connections to ARL programs can be identified during the proposal review process.
Eligible applicants under this FOA include institutions of higher education, nonprofit organizations, and
for-profit organizations (i.e., large and small businesses) for scientific research in the knowledge domains
outlined throughout this Funding Opportunity. Federally Funded Research and Development Centers
(FFRDC) may propose as well, with effort as allowed by their sponsoring agency and in accordance with
their sponsoring agency policy.</t>
  </si>
  <si>
    <t>Opportunities for Promoting Understanding through Synthesis</t>
  </si>
  <si>
    <t xml:space="preserve">Synopsis of Program:
_x000D_
_x000D_
The OPUS program is targeted to individuals, typically at later-career stages, whohave contributed significant insights to a field or body of research over time. The program provides an opportunity to revisit and synthesize that prior research into a unique, integrated product(s) useful to the scientific community, now and in the future.
_x000D_
All four clusters within the Division of Environmental Biology (Ecosystem Science, Evolutionary Processes, Population and Community Ecology, and Systematics and Biodiversity Science) encourage the submission of OPUS proposals.
_x000D_
</t>
  </si>
  <si>
    <t>Vietnam Action Against Plastic Pollution</t>
  </si>
  <si>
    <t>The United States Agency for International Development in Vietnam (USAID/Vietnam) is seeking applications from qualified entities to implement the "Vietnam Action Against Plastic Pollution" activity. The overall objective of this activity is to reduce ocean plastic pollution at its source in Vietnam through strategic approaches such as convening stakeholdersâ€™ power, promoting the creation and implementation of data-driven policies, enhancing knowledge and sharing learning, promoting appropriately scaled technology and solutions, and providing technical expertise and building capacity of local governments to manage waste at its source and prevent plastic pollution in our oceans.</t>
  </si>
  <si>
    <t>Dynamics, Control and Systems Diagnostics</t>
  </si>
  <si>
    <t>The Dynamics, Control and Systems Diagnostics (DCSD) program supports fundamental theoretical, computational, and experimental research that is knowledge-driven or inspired by applications, focusing on the modeling, analysis, diagnostics and control of the dynamic behavior of systems. Proposals submitted to the DCSD program should articulate how the proposed work advances knowledge in at least one of the following foundational areas:
Modeling: mathematical frameworks to understand and predict the behavior of dynamic systems.
Analysis: theoretical and computational tools for discovery and exploration of salient properties of dynamic systems.
Diagnostics: methods to relate underlying causes to observed behaviors of dynamic systems.
Control: methods to produce desired behavior, or mitigate undesired behavior, in dynamic systems.
The DCSD program encourages principal investigators (PIs) to request the amount of financial support necessary and sufficient to achieve the scope of the proposed research and to justify this accordingly.
PIs are encouraged to send a one-page Project Summary to dcsd@nsf.gov to receive feedback from the Program Directors on whether the project aligns with DCSD program objectives.</t>
  </si>
  <si>
    <t>Facilities for Atmospheric Research and Education</t>
  </si>
  <si>
    <t>To facilitate fundamental research in the atmospheric sciences, the Division of Atmospheric and Geospace Sciences (AGS) supports state-of-the-art instruments and facilities through the Facilities for Atmospheric Research and Education (FARE) Program. The FARE Program includes the Lower Atmosphere Observing Facilities (LAOF) and the Community Instruments and Facilities (CIF).
_x000D_
Lower Atmospheric Observing Facilities
_x000D_
The National Science Foundation (NSF) Division of Atmospheric and Geospace Sciences (AGS)Lower Atmospheric Observing Facilities (LAOF) Program oversees a portfolio of multi-user national facilities that are sponsored by NSF for use by the geosciences research community. Program management resides within AGS in the NCAR and Facilities Section (NFS) which provides a single point for coordination of planning and resources.The LAOF program enables geoscience research through the provision of specialized facilities, instrumentation, and field support services necessary to carry out the scientific field work associated with investigations of a wide range of geophysical phenomena. The program is actively involved in oversight of LAOF facilities and decisions about the acquisition, operation, maintenance, upgrading and replacement of these facilities based on input from the scientific community. LAOF funding supports both the planning for scientific field programs (e.g., experimental design, operational plans, logistical support) and the deployment of NSF-sponsored facilities.
_x000D_
Proposals to the LAOF program are acceptedby invitation only. Please contact the FARE program director if you intend to submit a proposal to this program.
_x000D_
Community Instrumentation and Facilities (CIF)
_x000D_
The CIF program provides the NSF-sponsored atmospheric sciences research community with access to specialized instrumentation for field and laboratory-based studies.The program requests proposals from instrument and facility providers who will make their equipment available for community use through an NSF-defined request process.Support will be provided for limited technician time, minor upgrades, and travel for outreach.</t>
  </si>
  <si>
    <t>Earth Sciences Instrumentation and Facilities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</si>
  <si>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Consortia as follows:
_x000D_
a) legally incorporated, not-for-profit consortium that includes two or more submission-eligible organizations as described in the two bulleted items above. Such a consortium is one with an independent administrative structure (e.g., a sponsored projects office) located in the United States, its territories, or possessions and has 501(c)(3) status.
_x000D_
b) Submission-eligible organizations as described in the two bulleted items above, on behalf of an informal consortium. These consortium proposals may also include as partners, via subawards, other U.S. and non-U.S. organizations that are not otherwise eligible to submit directly to this solicitation.
_x000D_
In either case, the proposal title should indicate that a consortium is proposing.
_x000D_
While for-profit commercial organizations, especially U.S. small businesses with strong capabilities in scientific or engineering research or education, are eligible for participatory support through subawards/subcontracts as private sector partners with submitting organizations; they may not submit independent proposals. Such partnerships must be substantive and meaningful. In addition, the value added by the for-profit commercial organization should be justified as a unique contribution that is otherwise unavailable within organizations described in the two bulleted items above.</t>
  </si>
  <si>
    <t>The NSF Division of Earth Sciences (EAR) hereby solicits proposals for research infrastructure that is necessary to advance understanding of the Earth System including: the structure, properties and dynamics of the solid Earth and the interactions between the solid Earth and its biosphere, hydrosphere, cryosphere and atmosphere; the history and evolution of life; and the history and dynamics of Earth s climate.
_x000D_
The EAR Instrumentation and Facilities Program (EAR/IF) will support meritorious requests for instrument-based and human research infrastructure that will advance understanding of the Earth system, contribute toward training a diverse geoscience workforce, and encourage efforts to support belonging, accessibility, justice, equity, diversity, and inclusion (BAJEDI).
_x000D_
EAR/IF will consider proposals for:
_x000D_
1) Equipment Acquisition or Upgrade
_x000D_
2) Instrumentation and/or Technique Development
_x000D_
3) Technician Support
_x000D_
4) Community Facility Support
_x000D_
5) Continental Drilling Planning
_x000D_
EAR seeks proposals that prioritize support for the U.S. Earth science community supported by EAR core or special programs (see https://www.nsf.gov/funding/programs.jsp?org=EAR for a current list of funding programs in EAR).</t>
  </si>
  <si>
    <t>Administrative Supplements to Support Cancer Disparity Collaborative Research (Clinical Trial Optional)</t>
  </si>
  <si>
    <t>Others (see text field entitled "Additional Information on Eligibility" for clarification)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</si>
  <si>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purpose of this trans-NCI Funding Opportunity Announcement (FOA) is to promote new cancer disparities research among investigators who do not normally conduct it and to encourage the partnership of experienced cancer research investigators with cancer disparities-focused researchers. This FOA is intended to accelerate and strengthen multi-disciplinary cancer disparities research in wide ranging areas. Cancer disparities research includes, but is not limited to basic, translational, behavioral, observational, interventional, environmental and population research studies that address the adverse differences in cancer incidence, prevalence, mortality, survivorship, burden and/or response to treatment in racial/ethnic minorities and/or underserved population groups. Proposed collaborations should focus on achieving research objectives that by necessity rely on diverse and complementary expertise, technical capabilities, and resource sets. Importantly, the supplemental request is required to be within the scope of the parent award and should expand the original aims to include a cancer disparity component and possible inclusion of international comparator cohorts. A trans NCI effort, the concept reissuance of the Collaborative Program is supported by NCIs Division of Cancer Biology (DCB), Division of Cancer Treatment and Diagnosis (DCTD), Division of Cancer Prevention (DCP), Division of Cancer Control and Population Sciences (DCCPS), Center to Reduce Cancer Health Disparities (CRCHD) and now, also included  Center for Global Health.</t>
  </si>
  <si>
    <t>Team-Based Design in Biomedical Engineering Education (R25 Clinical Trial Not Allowed)</t>
  </si>
  <si>
    <t>Others (see text field entitled "Additional Information on Eligibility" for clarification)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not allowed.</t>
  </si>
  <si>
    <t>The NIH Research Education Program (R25) supports research education activities in the mission areas of the NIH. The over-arching goal of this NIBIB R25 program is to support educational activities thatcomplement and/or enhance the training of a workforce to meet the nations biomedical, behavioral and clinical research needs. To accomplish the stated over-arching goal, this FOA will support creative educational activities with a primary focus on Courses for Skills Development.This FOA seeks to support programs that include innovative approaches to enhance biomedical engineering design education to ensure a future workforce that can meet the nations needs in biomedical research and healthcare technologies. Applications are encouraged from institutions that propose to establish new or to enhance existing team-based design courses or programs in undergraduate biomedical engineering departments or other degree-granting programs with biomedical engineering tracks/minors. This FOA targets the education of undergraduate biomedical engineering/bioengineering students in a team-based environment. While current best practices such as multidisciplinary/interdisciplinary education, introduction to the regulatory pathway and other issues related to the commercialization of medical devices, and clinical immersion remain encouraged components of a strong BME program, this FOA also challenges institutions to propose other novel, innovative and/or ground-breaking activities that can form the basis of the next generation of biomedical engineering design education.</t>
  </si>
  <si>
    <t>Guinea Local Health System Strengthening (GLHSS)</t>
  </si>
  <si>
    <t>The U.S. Agency for International Development (USAID) Mission in Guinea is pleased to issue this APS for the implementation of an activity designed to strengthen local health systems in targeted geographic areas so that Guineans can access a higher quality of health care in their communities and local public health facilities. USAID/Guineaâ€™s health office proposes the design of a new health sector activity entitled: Guinea Local Health System Strengthening (GLHSS). Its design involved USAID/Guinea, USAID/Washington, the Ministry of Health (MOH) and stakeholders working in the health sector. This co-engagement process will continue during the five-year implementation phase and will identify health topics on which additional information is needed.This APS document outlines the goal, purpose, expected results, and priorities of the Guinea Local Health System Strengthening (GLHSS), and may result in multiple awards issued under subsequent APS Rounds. GLHSS in this document is an umbrella APS and will not solicit concept papers or applications. Prospective applicants will be provided a fair opportunity to develop and submit competitive concept papers to USAID for potential funding via Rounds under this APS.</t>
  </si>
  <si>
    <t>Algorithms for Modern Power Systems</t>
  </si>
  <si>
    <t>The Algorithms for Modern Power Systems (AMPS) program will support research projects to develop the next generation of mathematical and statistical algorithms for improvement of the security, reliability, and efficiency of the modern power grid. The program is a partnership between the Division of Mathematical Sciences (DMS) at the National Science Foundation (NSF) and the Office of Electricity Delivery   Energy Reliability (OE) at the U.S. Department of Energy (DOE).</t>
  </si>
  <si>
    <t>NHGRI Short Courses for Genomics-Related Research Education (R25 Clinical Trial Not Allowed)</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</si>
  <si>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 Non-domestic (non-U.S.) Entities (Foreign Institutions) are not eligible to apply  Non-domestic (non-U.S.) components of U.S. Organizations are not eligible to apply.  Foreign components, as defined in the NIH Grants Policy Statement, are not allowed.</t>
  </si>
  <si>
    <t>The NIH Research Education Program (R25) supports research education activities in the mission areas of the NIH.  The over-arching goal of this NHGRI R25 program is to support educational activities that complement and/or enhance the training of a workforce to meet the nations biomedical, behavioral and clinical research needs.  To accomplish the stated over-arching goal, this FOA will support creative educational activities with a primary focus on: Courses for Skills Development. Proposed short courses are expected to facilitate the development of a cadre of investigators with the requisite research skills to advance the mission of NHGRI. Applications are encouraged that propose innovative, advanced-level courses that are intended to disseminate new knowledge, analyses, methods and techniques related to the scientific, medical, ethial, social and/or legal areas of genomics research.</t>
  </si>
  <si>
    <t>Pre-Solicitation Notice - Guinea Local Health System Strengthening</t>
  </si>
  <si>
    <t xml:space="preserve">The Agency for International Development (â€œUSAIDâ€) is pleased to issue a pre-solicitation notification. Please note that interested parties are not required to do anything in response to this pre-solicitation notice. USAID will only accept responses on the due date indicated on the forthcoming Notice of Funding Opportunity (â€œNOFOâ€). The NOFO will be published on the Grants.gov website, and no applications are requested at this time. Please hold all questions for information as they will not be responded to until the actual Request for Application is announced to the public in the coming weeks. This notice in no way obligates USAID to release the NOFO or make an award. Issuance of a NOFO will be subject to internal USAID approvals and the availability of funds. 
Description
USAID/Guinea   Sierra Leone anticipates awarding a five-year Cooperative Agreement for the Guinea Local Health System Strengthening (â€œGLHSSâ€) activity. The activityâ€™s goal is to contribute to sustainable improvements in the health status of Guineans. The GLHSS will contribute to achieving the following four intermediate results (IRs):
â— IR1: Provision of Quality Mother and Child Health, Family Planning/Reproductive Health and Malaria Services Assured
â— IR2: Health-Enhancing Social Norms Established
â— IR3: Democratic Norms and Processes Strengthened
â— IR4: Cross-Cutting: Use of Strategic Information for Decision-Making Increased
The Mission anticipates publishing an announcement seeking applications from eligible and qualified entities following a multi-tiered review process. Potential applicants will first submit a concept paper. After reviewing these submissions, a determination will be made on the best concept papers. Only the accepted concept papers will be invited to submit full applications, reviewed using a more specific merit review criterion. To be eligible for an award, interested parties must have complete registration and valid Dun and Bradstreet Universal Numbering System (â€œDUNSâ€) Number and System for Award Management (â€œSAMâ€) when responding to this NOFO.
</t>
  </si>
  <si>
    <t>EHR Core Research: Building Capacity in STEM Education Research (ECR: BCSER)</t>
  </si>
  <si>
    <t>Others (see text field entitled "Additional Information on Eligibility" for clarification) *Who May Serve as PI:
Co-PIs are not allowed on Individual Investigator Development proposals.</t>
  </si>
  <si>
    <t>ECR s Building Capacity in STEM Education Research (ECR: BCSER) supports projects that build investigators  capacity to carry out high-quality STEM education research that will enhance the nation s STEM education enterprise. In addition, ECR: BCSER seeks to broaden the pool of researchers who can advance knowledge regarding STEM learning and learning environments, broadening participation in STEM fields, and STEM workforce development. Researchersof races and ethnicities, genders, sexual orientations, and abilities who are currently underrepresented in their participation in STEM education research and the STEM workforce,as well as faculty at minority-serving and two-year institutions, are particularly encouraged to submit proposals.
_x000D_
Specifically, ECR: BCSER supports activities that enable researchers to expand their areas of expertise and acquire the requisite knowledge and skills to conduct rigorous research in STEM education. Career development may be accomplished through investigator-initiated professional development and research projects or through institutes that enable researchers to integrate methodological strategies with theoretical and practical issues in STEM education.</t>
  </si>
  <si>
    <t>AHRQ Patient-Centered Outcomes Research (PCOR) Mentored Clinical Scientist Career Development Award (K08)</t>
  </si>
  <si>
    <t>Private institutions of higher education Other Eligible Applicants include the following:  Alaska Native and Native Hawaiian Serving Institutions; Asian American Native American Pacific Islander Serving Institutions (AANAPISISs); Faith-based or Community-based Organizations; Hispanic-serving Institutions; Historically Black Colleges and Universities (HBCUs); Tribally Controlled Colleges and Universities (TCCUs) ; Non-domestic (non-U.S.) Entities (Foreign Institutions) are not eligible to apply. Non-domestic (non-U.S.) components of U.S. Organizations are not eligible to apply.</t>
  </si>
  <si>
    <t>The primary purpose of the AHRQ Patient-Centered Outcomes Research (PCOR) Mentored Clinical Investigator Career Development Award (K08) program is to provide support for qualified individuals for an intensive, mentored research career development experience in comparative effectiveness research (CER) methods as applied to patient-centered outcomes research (PCOR).</t>
  </si>
  <si>
    <t>AHRQ Patient-Centered Outcomes Research (PCOR) Mentored Research Scientist Career Development Award (K01)</t>
  </si>
  <si>
    <t>Private institutions of higher education Other Eligible Applicants include the following:  Alaska Native and Native Hawaiian Serving Institutions; Asian American Native American Pacific Islander Serving Institutions (AANAPISISs); Hispanic-serving Institutions; Historically Black Colleges and Universities (HBCUs); Tribally Controlled Colleges and Universities (TCCUs) .</t>
  </si>
  <si>
    <t>The primary purpose of the AHRQ Patient-Centered Outcomes Research (PCOR) Mentored Research Scientist Career Development Award (K01) program is to provide support for qualified individuals for an intensive, mentored research career development experience in comparative effectiveness research (CER) methods as applied to patient-centered outcomes research (PCOR).</t>
  </si>
  <si>
    <t>Mission Spain Public Diplomacy 2022 Annual Program Statement</t>
  </si>
  <si>
    <t>DOS-ESP</t>
  </si>
  <si>
    <t>U.S. Mission to Spain</t>
  </si>
  <si>
    <t>Others (see text field entitled "Additional Information on Eligibility" for clarification) The following entities, from Spain, Andorra, or the United States, are eligible to apply:   Not-for-Profit organizations, including educational and cultural institutions   Civil society organizations  Non-governmental organizations  Think tanks  Professional associations   Media outlets  Governmental institutions and public international organizations   Individual citizens, including alumni of U.S. Government (USG) exchange programs, who have a demonstrated capacity or proven track record to carry out the proposed activities.  To be eligible for consideration, Spanish or Andorran-based applicant organizations must be registered in their respective host country. Businesses and other for-profit organization may not apply for funding under this APS.</t>
  </si>
  <si>
    <t xml:space="preserve">
The Public Diplomacy Section (PD Spain) of the U.S. Embassy Madrid and U.S. Consulate General Barcelona welcomes proposals for creative, engaging projects that line up with PD Spainâ€™s main objectives.â€¯That includes: 
 Promote citizen participation in the fight against the climate crisis and facilitate better knowledge of the policies and actions of the United States in this area. 
 Ensure that Spanish and /or Andorran students know the United States as a destination for their training, for summer work programs and for learning English. 
 Promote security and defense alliances between the United States and Spain and the Atlantic Alliance (NATO). 
 Communicate the importance of Spain being the venue for the 2022 NATO Summit, the role that Spain plays within NATO and the strategic concept of NATO in the near future. 
 Explain the value of initiatives dedicated to women, peace and security. 
 Support the areas of entrepreneurship, innovation and STEM to increase economic opportunities for young people in Spain and / or Andorra. 
 Increase knowledge about how to do business in the US and highlight the role of Spain and Andorra in the global digital economy. 
 Expand the reach of media literacy and support the media education programs of Spanish institutions with useful and accurate tools to increase understanding of false information and other tactics, to render misinformation campaigns targeting Spain ineffective. 
 Communicate about the common values that the United States, Spain and the EU share and about the promotion of respect for human rights, democracy and the need for democratic changes in places like Venezuela, Cuba and Nicaragua, the power of the law against impunity, privacy, international order based on common rules, and a fair playing field. 
 Encourage collaboration between Spanish and /or Andorran and American organizations that share the defense of human rights. 
 Explore topics such as the rights of LGBTQI + community, racism, sexism, and the rights of people with disabilities. 
 Promote the rights and equality of women, ethnic and religious minorities, the LGBTQI + community, refugees and migrants, people with disabilities and other populations in Spain and / or Andorra. 
All programs should ensure they promote diversity and inclusion. 
Please be aware that projects funded through this APSâ€¯mustâ€¯include an American element.â€¯That could involve a connection or partnership between Spanish and/or Andorran and American organizations or institutions.â€¯For example, an American expert take part, in person or virtually, in your project.â€¯Activities might highlight or examine shared values between Spain and/or Andorra and the United States, national interests, etc.â€¯You may incorporate a U.S. approach or method you have learned about to addressing an issue or challenge facing your community, institution, or profession. 
Grant activities may take any number of forms, including academic competitions, cross-border exchanges, conferences, workshops, courses, curriculum development, exhibits, hackathons or app development, online projects, mock trials or moot court competitions, simulations and role-playing activities (e.g., Model Congress, Model United Nations), performances, or other activities. 
Project start no earlier than December 1, 2021, no later than September 30, 2022, with all activities being completed no later than December 2023. All activities and your evaluation or assessment of the project should be completed within 18 months starting the project. 
</t>
  </si>
  <si>
    <t>Research Coordination Networks in Undergraduate Biology Education</t>
  </si>
  <si>
    <t xml:space="preserve">The goal of the RCN-UBE program is to link biological research discoveries with innovations in biology education to improve the learning environment in undergraduate biology classrooms. The program seeks to improve undergraduate education by leveraging the power of a collaborative network recognizing that neweducational materials and pedagogies can simultaneously teach biological concepts while creating a supportive and engaging learning environment for all. TheRCN-UBE program supports groups of investigators to communicate and coordinate their research, training, and education. The theme or focus of an RCN-UBE proposal can be on any topic likely to advance this goal, and activities across disciplinary, organizational, geographic, and international boundaries are encouraged. Acknowledging thatstudents  educational pathways vary,networks that include under-resourced institutions as full, equitable partners are highly desired. Understanding thatpeople from diverse backgrounds bring different experiences and viewpoints, the RCN-UBE program is interested inproposals that include individuals from traditionally underrepresented in biological research and education as members of the steering committee. Lastly, the RCN-UBE program is also interested in developing, testing, and sharing best practices that can transform the online learning environment.
_x000D_
These efforts supported by RCN-UBE are responsive to the national movement to revolutionize undergraduate learning and teaching in the biological sciences as described in the 2009  Vision and Change in Undergraduate Biology Education  report.Collectively, the RCN-UBE program has contributed to developing and disseminating educational research resources and modules, to forging new collaborations, and to sharing best practices and processes for scalability and sustainability of activities. These efforts have involved a large cadre of faculty, students, and other stakeholders. 
_x000D_
In accord with other RCN awards, RCN-UBE awards provide opportunities to address interdisciplinary topics, to explore innovative ideas for implementing novel networking strategies, to explore collaborative technologies, and to develop community standards. RCN-UBE awards do not support existing networks or the activities of established collaborations.
_x000D_
Note: Because it addresses undergraduate biology education, the RCN-UBE program is offered in alignment with the NSF-wide undergraduate STEM education initiative, Improving Undergraduate STEM Education (IUSE). More information about IUSE can be found at the end of the Program Description section of this solicitation and the NSF IUSE solicitation (NSF 21-579). Depending on the scope and nature of the project, investigators should consider applying to IUSE or RCN-UBE.
_x000D_
_x000D_
_x000D_
_x000D_
_x000D_
_x000D_
_x000D_
</t>
  </si>
  <si>
    <t>NIDCD Clinical Research Center Grant (P50 Clinical Trial Optional)</t>
  </si>
  <si>
    <t>Public housing authorities/Indian housing authorities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 Non-domestic (non-U.S.) Entities (Foreign Institutions) are not eligible to apply.  Non-domestic (non-U.S.) components of U.S. Organizations are not eligible to apply.  Foreign components, as defined in the NIH Grants Policy Statement, are allowed.</t>
  </si>
  <si>
    <t>The National Institute on Deafness and Other Communication Disorders (NIDCD) invites applications for Clinical Research Center Grants designed to advance the diagnosis, prevention, treatment, and amelioration of human communication disorders. For this announcement, Clinical Research is defined as research involving individuals with communication disorders or data/tissues from individuals with a communication disorder. Examples of such research include but are not limited to, studies of the prevention, pathogenesis, pathophysiology, diagnosis, treatment, management or epidemiology of a disease or disorder of hearing, balance, smell, taste, voice, speech, or language. Applications may propose a clinical trial but are not required to (optional).</t>
  </si>
  <si>
    <t>Office of Elementary and Secondary Education (OESE): Project to Support America s Families and Educators (Project SAFE) Grant Program Assistance Listing Number (ALN) 84.184N</t>
  </si>
  <si>
    <t>Others (see text field entitled "Additional Information on Eligibility" for clarification) 1.	Eligible Applicants:  An LEA that--_x000D_
      a.  Has adopted a policy to implement and is implementing one or more of the strategies recommended in the CDC s Guidance for COVID-19 Prevention in K-12 Schools, as may be updated._x000D_
   The most recent guidance incorporates the following strategies: (i) Promoting vaccination; (ii) Consistent and correct mask use; (iii) Physical distancing; (iv) Screening testing to promptly identify cases, clusters, and outbreaks;  (v) Ventilation; (vi) Handwashing and respiratory etiquette;(vii) Staying home when sick and getting tested; (viii) Contact tracing, in combination with isolation and quarantine; and (ix) Cleaning and disinfection._x000D_
  b.  Has incurred or will incur a financial penalty imposed by its SEA or other State entity, such as a reduction in funding, including but not limited to reduction in salaries for school board members or superintendents, due to implementation of one or more strategies described in paragraph (a); and c._x000D_
  To protect the safety and well-being of students, has continued at the time of application to implement such strategy or strategies for which the penalty was imposed and commits to maintain such strategy or strategies to the extent consistent with CDC guidance for the 2021-2022 school year.</t>
  </si>
  <si>
    <t xml:space="preserve"> Note: Each funding opportunity description is a synopsis of information in the Federal Register application notice. For specific information about eligibility, please see the official application notice. The official version of this document is the document published in the Federal Register. Free Internet access to the official edition of the Federal Register and the Code of Federal Regulations is available on GPO Access at: http://www.access.gpo.gov/nara/index.html. Please review the official application notice for pre-application and application requirements, application submission information, performance measures, priorities and program contact information. 
 For the addresses for obtaining and submitting an application, please refer to our Common Instructions for Applicants to Department of Education Discretionary Grant Programs, published in the Federal Register on February 13, 2019 (84 FR 3768), or at www.govinfo.gov/â€‹content/â€‹pkg/â€‹FR-2019-02-13/â€‹pdf/â€‹2019-02206.pdf. 
 The Project SAFE grant program is intended to improve studentsâ€™ safety and well-being by providing resources to local educational agencies (LEAs) that adopt and implement strategies to prevent the spread of the Novel Coronavirus Disease 2019 (COVID-19) consistent with guidance from the Centers for Disease Control and Prevention (CDC) and that are financially penalized for doing so by their State educational agency (SEA) or other State entity.  
 Purpose of Program: The Project SAFE grant program provides grants to eligible LEAs to improve student safety and well-being by advancing strategies consistent with CDC guidance to reduce transmission of COVID-19 in schools. 
 To submit an application, please email the completed and signed application, along with required attachments, to ProjectSAFE@ed.gov. The application template may be found at the following link: https://oese.ed.gov/offices/office-of-formula-grants/safe-supportive-schools/the-project-to-support-americas-families-and-educators-project-safe/ 
 Assistance Listing Number (ALN): 84.184N</t>
  </si>
  <si>
    <t>Human-Environment and Geographical Sciences Program - Doctoral Dissertation Research Improvement Awards</t>
  </si>
  <si>
    <t>Others (see text field entitled "Additional Information on Eligibility" for clarification) *Who May Submit Proposals: Proposals may only be submitted by the following:
  - _x000D_
 Institutions of Higher Education (IHEs) -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_x000D_
*Who May Serve as PI:
DDRI proposals must be submitted with a principal investigator (PI) and a co-principal investigator (co-PI). br / br / The PI must be the advisor of the doctoral student or another faculty member at the U.S. university where the doctoral student is enrolled. There is no limitation on the number of times that an individual may be the principal investigator on a DDRI proposal submitted to HEGS, either during a specific competition or over the course of her/his career. br / br / A doctoral student may submit a DDRI proposal to HEGS to support her/his dissertation research only twice during her/his lifetime. A student and her/his advisor therefore should carefully consider what times during the student's graduate program are most appropriate forsubmission ofa DDRI proposal.</t>
  </si>
  <si>
    <t>The objective of the Human-Environment and Geographical Sciences Program is to support basic scientific research about the nature, causes and/or consequences of the spatial distribution of human activity and/or environmental processes across a range of scales. Contemporary geographical research is an arena in which diverse research traditions and methodologies are valid. Recognizing the breadth of the field's contributions to science, the HEGS Program welcomes proposals for empirically grounded, theoretically engaged, and methodologically sophisticated, generalizable research in all sub-fields of geographical and spatial sciences.
_x000D_
Because the National Science Foundation's mandate is to support basic scientific research, the NSF Human-Environment and Geographical Sciences program does not fund research that takes as its primary goal humanistic understanding or applied research.HEGS welcomes proposals that creatively integrate scientific and critical approaches, and that engage rigorous quantitative, qualitative, or mixed methods in novel ways.However, a proposal that applies geographical/spatial methods to a social problem but does not propose how that problem provides an opportunity to make a theory-testing and/or theory expanding contributions to geographical science will be returned without review. HEGS supported projects are expected to yield results that will enhance, expand, and transform fundamental geographical theory and methods, and that will have positive broader impacts that benefit society.A proposal to the HEGS Program must also articulate how the results are generalizable beyond the case study.
_x000D_
It should be noted that HEGS is situated in the Behavioral and Cognitive Sciences Division of the Social, Behavioral and Economic Sciences Directorate at NSF. Therefore, it is critical that research projects submitted to the Human-Environment and Geographical Sciences Program illustrate how the proposed research questions engage human dimensions relevant and important to people and societies.
_x000D_
A proposal that fails to be responsive to these program expectations will be returned without review.</t>
  </si>
  <si>
    <t>APS-OAA-21-00001 Addendum USAID/Mali</t>
  </si>
  <si>
    <t>USAID-MAL</t>
  </si>
  <si>
    <t>Mali USAID -Bamako</t>
  </si>
  <si>
    <t xml:space="preserve">Through this Addendum to the Global Development Alliance (GDA) Annual Program Statement (APS) APS No: APS-OAA-21-00001 (the GDA APS), the U.S. Agency for International Developmentâ€™s Mission in Mali is making a special call for the submission of Concept Papers focused on catalyzing private sector investment for Maliâ€™s economic recovery through inclusive and sustainable development.
The specific objectives of this Addendum are to:
 Foster inclusive and sustainable agriculture-led growth 
 Catalyze agricultural investments that strengthen resilience among people and systems
 Improve productivity of agricultural market systems to promote a well-nourished population, especially among women and children
 Expand job opportunities and job skills training among priority populations in targeted geographies. (NB: this objective must be paired with at least one of the three above).
Subject to funding availability, USAID/Mali may allocate up to USD $3,000,000 to fund two or more GDAs with the private sector. Funding for individual applications is anticipated to be in the range of USD $250,000 to $1,500,000 to be provided over a period of 2-5 years, depending on the approach of each individual application. The resulting GDAs will complement the Mali Country plan under the U.S. Governmentâ€™s Global Food Security Strategy, also known as Feed The Future (FTF). If applicantâ€™s prefer to read the Mali Country Plan in French, please find it here.
Priority will be placed on supporting the most promising and effective GDAs, as described in Section III â€œEvaluation Criteriaâ€ of this Addendum. Effective GDAs are partnerships that result in the sustainable and ongoing generation of valuable and enduring results over time and well beyond the duration of the GDA. 
Unless otherwise stated herein, all terms and conditions of the GDA APS No: APS-OAA-21-00001 apply.
</t>
  </si>
  <si>
    <t>Sustainable Management of Tsavo and Amboseli Landscapes</t>
  </si>
  <si>
    <t>USAID-KEN</t>
  </si>
  <si>
    <t>Kenya USAID-Nairobi</t>
  </si>
  <si>
    <t>USAID Kenya and East Africa (USAID/KEA) is interested in scaling-up landscape-level biodiversity conservation in targeted areas which fall outside nationally protected areas. USAID intends to partner with one organization to work with communities, private sector, local government institutions, and civil society organizations in conserving biodiversity and livelihood improvement in targeted landscapes. Through a co-creation process, USAID intends to develop one award which will support one activity in the Greater Amboseli Ecosystem (GAE), and one activity for the larger Tsavo Conservation Area (TCA). USAID reserves the right to develop and issue multiple awards.</t>
  </si>
  <si>
    <t>FY 2021 - 2023 Economic Development RNTA</t>
  </si>
  <si>
    <t>DOC</t>
  </si>
  <si>
    <t>Department of Commerce</t>
  </si>
  <si>
    <t>Others (see text field entitled "Additional Information on Eligibility" for clarification) Additional Information on Eligibility:	Pursuant to Section 3(4) of PWEDA (42 U.S.C.   3122(4)) and 13 C.F.R.   300.3 (Eligible Recipient), eligible applicants for and recipients of EDA RNTA investment assistance include: a District Organization; an Indian Tribe or a consortium of Indian Tribes; a State; a city or other political subdivision of a State, including a special purpose unit of a State or local government engaged in economic or infrastructure development activities, or a consortium of political subdivisions; an institution of higher education or a consortium of institutions of higher education; a public or private non-profit organization or association acting in cooperation with officials of a political subdivision of a State; private individual; or a for-profit organization.Additional Information:</t>
  </si>
  <si>
    <t>NOTICE: PLEASE READ -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Once your concept proposal has been reviewed, you will receive an invitation to apply in EDGE. More information on how to apply is provided in the full NOFO. You must submit concept proposals to rnta@eda.gov.
Program Description
EDA provides strategic investments on a competitive merit basis to support economic development, foster job creation, and attract private investment in economically distressed areas of the United States. Under this NOFO, EDA solicits applications from applicants in order to provide investments that support research and technical assistance projects under EDAâ€™s R E and NTA programs. Grants and cooperative agreements made under these programs are designed to leverage existing regional assets and support the implementation of economic development strategies that advance new ideas and creative approaches to advance economic prosperity in distressed communities.
This NOFO employs a two-step application process: (1) the Concept Proposal and (2) the Full Application. EDA will only review Full Applications submitted by applicants who first submitted a Concept Proposal. Any Full Application received from an applicant that did not submit a Concept Proposal will be deemed ineligible and not considered for funding. For the Concept Proposal, applicants may use the optional template available at https://eda.gov/programs/rnta/resources/. Full Applications must be submitted through Grants.gov using the link that EDA will provide with its response to the Concept Proposal.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</si>
  <si>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Development of Research-based Educational Outreach Materials</t>
  </si>
  <si>
    <t>VA-NCAC</t>
  </si>
  <si>
    <t>NCA Contracting</t>
  </si>
  <si>
    <t>Others (see text field entitled "Additional Information on Eligibility" for clarification) Universities, historical societies, and museums in partnership with public schools (K-12.)</t>
  </si>
  <si>
    <t>PLEASE SEE SAM.GOV FOR FULL DOCUMENTPlease search SAM.GOV using:  36C78621R0028</t>
  </si>
  <si>
    <t>Research on Autism Spectrum Disorders (R01 Clinical Trial Optional)</t>
  </si>
  <si>
    <t>Nonprofits that do not have a 501(c)(3) status with the IRS, other than institutions of higher education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</si>
  <si>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Reissue of the PA-18-401. The purpose of this Funding Opportunity Announcement (FOA) is to encourage research grant applications to support research designed to elucidate the etiology, epidemiology, diagnosis, and optimal means of service delivery in relation to Autism Spectrum Disorders (ASD).</t>
  </si>
  <si>
    <t>Alliances for Graduate Education and the Professoriate</t>
  </si>
  <si>
    <t>The NSF's Alliances for Graduate Education and the Professoriate (AGEP) program contributes to the National Science Foundation's objective to foster the growth of a more capable and diverse research workforce.1Through this solicitation, the NSF seeks to build on prior AGEP work, and other research and literature concerning racial and ethnic equity, in order to address the AGEP program goal to increase the number of historically underrepresented minority faculty in STEM.2Furthering the AGEP goal requires advancing knowledge about new academic STEM career pathway models, and about evidence-based systemic or institutional change initiatives to promote equity and the professional advancement of the AGEP populations who are pursuing, entering and continuing in non-tenure and tenure-track STEM faculty positions. The use of the term "historically underrepresented minority" reflects language from Congress, and in the context of the AGEP program, the AGEP populations are defined as STEM doctoral candidates, postdoctoral scholars and faculty, who are African Americans, Hispanic Americans, American Indians, Alaska Natives, Native Hawaiians, and Native Pacific Islanders. The terms for these racial and ethnic populations are derived from the US government's guidance for federal statistics and administrative reporting. At the graduate student level, only doctoral candidates are included because they have greater potential to enter a faculty position within the project duration time frame.
Improving equity and inclusion is critical to advancing STEM faculty, educating America s future STEM workforce, fostering individual opportunity and contributing to a thriving U.S. economy. The NSF AGEP program, therefore, seeks to fund grants that advance and enhance the systemic factors that support equity and inclusion and, consequently, mitigate the systemic inequities in the academic profession and workplace. The AGEP program goal to increase the number of historically underrepresented minority faculty is bolstered by the National Science Board s Vision 2030: Vision for the Future.3
Systemic and organizational inequities may exist in areas such as policy and practice as well as in institutional, departmental, laboratory and classroom culture and climate. AGEP proposals may address, for example, practices in academic departments that result in the inequitable allocation of service or teaching assignments which may impede research productivity, delay career advancement, and create a culture of differential treatment and rewards. Similarly, policies and procedures that fail to mitigate implicit bias in hiring, tenure, and promotion decisions could lead to people who are members of AGEP populations being evaluated less favorably, perpetuating historical under-participation in STEM academic careers and contributing to an academic climate that is not inclusive.
All AGEP Alliances are expected to engage similar institutions of higher education (IHE) to work collaboratively and use intersectional approaches in the design, implementation, and evaluation of systemic change strategies. The collaborating IHEs must be similar to each other based on such variables as Carnegie classification, geographic location and student and/or faculty demographic characteristics.
This solicitation includes three funding tracks that all support the AGEP program goal. All tracks require collaborative IHE teams to use an intersectional lens as they address systemic and institutional change strategies at IHEs to promote equity for AGEP populations.
The AGEP Institutional Transformation Alliance (ITA) track is designed to support the development, implementation, and evaluation of innovative systemic and institutional change strategies that promote equity for AGEP populations, within similar IHEs. ITAs will create permanent policy and practice changes that advance AGEP populations, and the project work is expected to be sustained after NSF funding expires. Please note that a preliminary proposal to the ITA track is required, and that at least one of the institutions submitting must first have or have had an AGEP Catalyst Alliance. The proposing IHEs represented in the preliminary ITA proposal must be the same collaborating IHEs who will plan to submit a full ITA proposal, if invited by NSF to submit the full ITA. Please read the full solicitation for details about ITA Preliminary and Full proposal submissions that begin in FY2022.
The AGEP Faculty Career Pathways Alliance Model (FC-PAM) track is intended to support the development, implementation, evaluation, and institutionalization of Alliance models that will advance AGEP populations, within similar IHEs. The FC-PAM collaborators must also self-study into how socio-cultural, economic, structural, leadership and institutional variables affect the formation of the FC-PAM Alliance, and the strategies or interventions the collaborators implement to advance the AGEP populations.A Letter of Intent (LOI) is required ONLY for IHEs that plan to submit an FC-PAM collaborative proposal, and only one LOI is needed for the collaborating research institutions that plan to submit the FC-PAM proposal.The FC-PAM track will only be available in FY2021-FY2022 and it will be discontinued thereafter.
The AGEP Catalyst Alliance (ACA) track supports the design and implementation of one or more organizational self-assessment(s) to collect and analyze data that will identify inequities affecting the AGEP populations; pilot equity strategies as appropriate; and develop a five-year equity strategic plan for the AGEP populations. The ACA is meant as a facilitator grant to help similar IHEs generate the foundational work necessary to initiate an ITA project.
[1] Building the Future Investing in Innovation and Discovery: NSF Strategic Plan 2018-2022. Available at: https://www.nsf.gov/pubs/2018/nsf18045/nsf18045.pdf.
[2] All STEM fields that are supported by NSF are supported by the AGEP program, including the learning, social, behavioral, and economic sciences. AGEP does not support clinical science fields.
[3] National Science Board, National Science Foundation. 2020. Vision 2030: Vision for the Future. NSB-2020-15. Alexandria, VA. Available at: https://nsf.gov/nsb/publications/vision2030.pdf</t>
  </si>
  <si>
    <t>Broadening Participation in Computing</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</si>
  <si>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-State and Local Governments
  -Institutions of Higher Education (IHEs): Two- and four-year IHEs (including community colleges) accredited in, and having a campus located in the US, acting on behalf of their faculty members. 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t>
  </si>
  <si>
    <t xml:space="preserve">The Broadening Participation in Computing program (BPC) aims to significantly increase the number of U.S. citizens and permanent residents receiving post-secondary degrees in the computing disciplines, and to encourage participation of other underrepresented groups in the discipline. These groups may include women, persons with disabilities, Blacks and African Americans, Hispanics, American Indians, Alaska Natives, Native Hawaiians, and Pacific Islanders. With this solicitation, the BPC program seeks to engage the computing community to develop and implement innovative methods, frameworks, and strategies to improve recruitment and retention of these students through undergraduate and graduate degrees. Projects that target stages of the academic pipeline through faculty ranks are encouraged. All BPC projects must have the potential for widespread, national impact. That is, they should either develop an effective practice that could be widely deployed, or they should deploy existing effective practices to reach larger audiences.
The BPC program will support three categories of awards: Alliances, Demonstration Projects, and Supplements.
Alliancesarebroad coalitions of academic institutions of higher learning,K-12 schools, government, industry, professional societies, and other not-for-profit organizations that design and carry out comprehensive programs addressing underrepresentation in the computing disciplines. They have a largeregional or national scope. Alliances operate across multiple stages of the academic pipeline and address one or several intended groups that are underrepresented. Collectively, Alliances serve as anational resource for achieving the transformation of computing education.
Existing Alliances with documented evidence of national impact on broadening participation in computing may apply for additional funding.An Alliance Extension increases the duration of the Alliance award as well as its scope, introducing additional student groups to be reached, partners, and/or projects with the intended purpose of significant impact to the populations served.
Demonstration Projects (DPs)are more focused than Alliance projects. Typical DPs pilot innovative programs that, once fully developed, could be incorporated into the activities of an existing or new Alliance, or otherwise scaled up for widespread impact. Examples include projects proposed by a single institution or those that focus on a single underrepresented community, a single point in the academic pathway, or a single impediment to full participation in computing. Demonstration projects should contribute knowledge to our understanding of effective teaching and learning of computing for students from groups underrepresented in computing.
Both Alliances and Demonstration Projects have significant evaluation efforts with both formative and summative components. Competitive projectswill have significant impact both in the quality of opportunities afforded to participants and in the number of participants potentially served.
Supplements to existing CISE research awards are intended toengage more members of the computing research community in significant BPC efforts as part of a project s BPC plan.
</t>
  </si>
  <si>
    <t>Philadelphia FY 2021   FY 2023 EDA Planning and Local Technical Assistance</t>
  </si>
  <si>
    <t>Others (see text field entitled "Additional Information on Eligibility" for clarification)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</si>
  <si>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 xml:space="preserve">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Please note that the above does not apply for Partnership Planning applications. For more information, please reach out to your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 
</t>
  </si>
  <si>
    <t>Atlanta FY 2021   FY 2023 EDA Planning and Local Technical Assistance</t>
  </si>
  <si>
    <t>City or township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</si>
  <si>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NOTICE: Application Process as of April 6th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</si>
  <si>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Austin FY 2021   FY 2023 EDA Planning and Local Technical Assistance</t>
  </si>
  <si>
    <t>Special district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</si>
  <si>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t>
  </si>
  <si>
    <t>Denver FY 2021   FY 2023 EDA Planning and Local Technical Assistance</t>
  </si>
  <si>
    <t>Native American tribal governments (Federally recognized)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</si>
  <si>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 xml:space="preserve">UPDATED NOTICE - PLEASE READ: April 6, 2023 
EDA is excited to announce the launch of its new grants management platform: the Economic Development Grants Experience (EDGE). EDGE was developed to streamline the application and grants management process by implementing a single platform with increased transparency, improved user experience, higher data quality, and more efficiency throughout the entire grant lifecycle. 
As of April 6th, 2023, applications can no longer be submitted on Grants.gov, and will ONLY be accepted through EDGE. To apply in EDGE, please go to: sfgrants.eda.gov. More information on how to apply is provided in the full NOFO. 
PARTNERSHIP PLANNING program instructions: Please note that applicants will be invited to submit applications through EDGE for the Partnership Planning program. For more information, please reach out to your EDA point of contact. 
Program Description: 
EDA makes planning and local technical assistance investments to support economic development, foster job creation, and attract private investment in economically distressed areas of the United States. 
Under the Planning program, EDA makes Partnership Planning, Short-Term Planning, and State Planning awards to eligible recipients to create and implement regional economic development plans designed to build capacity and guide the economic prosperity and resiliency of an area or region. More specifically, EDA makes Partnership Planning investments to designated planning organizations (i.e., District Organizations) serving EDA-designated Economic Development Districts and to Indian Tribes to facilitate the development, implementation, revision, or replacement of Comprehensive Economic Development Strategies (CEDS), which articulate and prioritize the strategic economic goals of recipientsâ€™ respective regions. EDA also makes Short-Term and State Planning awards for economic development planning activities that guide the eventual creation and retention of high-quality jobs, particularly for the unemployed and underemployed in the Nationâ€™s most economically distressed regions. 
Under the Local Technical Assistance program, EDA makes awards to strengthen the capacity of local or State organizations, institutions of higher education, and other eligible entities to undertake and promote effective economic development programs through projects such as feasibility studies, impact analyses, disaster resiliency plans, and project planning. 
**Please note: While the published Notice of Funding Opportunity (available under "Related Documents") states that the ED900A form and the SF424B form are both required for a complete application, these forms are no longer required and have therefore been removed from the package template. 
</t>
  </si>
  <si>
    <t>Seattle FY 2021   FY 2023 EDA Planning and Local Technical Assistance</t>
  </si>
  <si>
    <t>Chicago FY 2021   FY 2023 EDA Planning and Local Technical Assistance</t>
  </si>
  <si>
    <t>Nonprofits having a 501(c)(3) status with the IRS, other than institutions of higher education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</si>
  <si>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Education Programs in Atmospheric and Geospace Sciences</t>
  </si>
  <si>
    <t>AGSEducation supports efforts to integrateatmospheric and geospaceresearch and education via two main program areas, which are:
_x000D_
1) Research Experiences for Undergraduates (REU) Site Program. This program provides funding to Universities andResearch Laboratories that allows them to offer summer internships to undergraduate students who would like to participate inatmospheric and/or geospaceresearch efforts. Proposals may be submitted annually (August deadline).
_x000D_
2)AGS Postdoctoral Fellowships:AGS awards 2-year Postdoctoral Fellowships to highly qualified investigators within 3 years of obtaining their PhD to carry out an integrated program of independent research and education. While the postdoc program is funded by core programs, the AGS Education program supports the cost of professional development for the fellows.
_x000D_
Additionally this program will support efforts related to education of undergraduate and graduate students and postdocs within the Atmospheric and Geospace communities, as well as diversity, equity, inclusion, and belonging efforts for the Atmospheric and Geospace communities.Proposals to the AGS Education program are acceptedby invitation only. Please contact theeducation program director if you intend to submit a proposal to this program.</t>
  </si>
  <si>
    <t>USAID Partnership for Higher Education Reform</t>
  </si>
  <si>
    <t xml:space="preserve">The United States Agency for International Development in Vietnam (USAID/Vietnam) is seeking applications from qualified entities to implement the "USAID Partnership for Higher Education Reform" activity. The activity aims to modernize the selected universities to support their desire to become world-class institutions. </t>
  </si>
  <si>
    <t>ANNUAL PROGRAM STATEMENT - PUBLIC AFFAIRS ITALY</t>
  </si>
  <si>
    <t>DOS-ITA</t>
  </si>
  <si>
    <t>U.S. Mission to Italy</t>
  </si>
  <si>
    <t>Others (see text field entitled "Additional Information on Eligibility" for clarification) The Public Affairs Section encourages applications from Italy and the United States:_x000D_
_x000D_
 	Registered U.S. and Italian not-for-profit organizations, including think tanks and civil society/non-governmental organizations with programming experience in Italy;_x000D_
 	U.S. or Italian individuals;_x000D_
 	U.S. and Italian non-profit or governmental educational institutions;_x000D_
 	U.S. and Italian Governmental institutions.</t>
  </si>
  <si>
    <t xml:space="preserve">The U.S. Mission to the Republic of Italyâ€™s Public Affairs Section (PAS) is pleased to announce that funding is available through its Public Diplomacy Grants Program. This is an Annual Program Statement outlining funding priorities, strategic themes, and the procedures for submitting requests for funding.
PA Italy invites proposals for programs that strengthen cultural ties between the United States and Italy through cultural and exchange programming that highlight shared values and promote bilateral cooperation. All programs must include a significant American cultural element, connection with American expert(s), organization(s), OR institution(s) in a specific field that will promote increased understanding of U.S. policy and perspectives.
Priority Program Areas:
 American and Italian voices countering malign influencers and misinformation campaigns
 Promoting strong transatlantic relations;
 Creativity and innovation in education and the arts, and problem solving of issues of mutual interest to both countries;
 American Studies, particularly American History and Literature, to include university linkages;
 Promoting diversity and inclusion;
 Empowerment and prosperity through STEM education and entrepreneurship;
 American English Language Study;
 Media Literacy.
</t>
  </si>
  <si>
    <t>USAID Reducing Pollution</t>
  </si>
  <si>
    <t xml:space="preserve">The United States Agency for International Development in Vietnam (USAID/Vietnam) is seeking applications from qualified entities to implement the "USAID Reducing Pollution" activity. The overall objective of this activity is to reduce environmental pollution in targeted areas through a collective impact approach. </t>
  </si>
  <si>
    <t>Innovation Corps Teams (I-CorpsTM* Teams)  Program</t>
  </si>
  <si>
    <t xml:space="preserve">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span style= font-size: 11pt; font-family: 'Calibri',sans-serif; line-height: 107%; mso-fareast-font-family: Calibri; mso-fareast-theme-font: minor-latin; mso-bidi-font-family: 'Times New Roman'; mso-ansi-language: EN-US; mso-fareast-language: EN-US; mso-bidi-language: AR-SA; mso-ascii-theme-font: minor-latin; mso-hansi-theme-font: minor-latin; mso-bidi-theme-font: minor-bidi; Multiple awards based on the same core technology generally will not be supported. </t>
  </si>
  <si>
    <t>The National Science Foundation (NSF) seeks to further develop and nurture a national innovation ecosystem that guides the output of scientific discoveries closer to the development of technologies, products, and services that benefit society. The goals of the NSF Innovation Corps (I-Corps) Program, created in 2011 by NSF,are tospur translation of fundamental research to the marketplace, to encourage collaboration between academia and industry, and to train NSF-funded faculty, students and other researchers in innovation and entrepreneurship skills.
_x000D_
The I-Corps Program utilizes experiential learning of customer and industry discovery, coupled with first-hand investigation of industrial processes, to quickly assess the translational potential of inventions. The I-Corps Program is designed to support the commercialization of "deep technologies,  those revolving around fundamental discoveries in science and engineering. The I-Corps Program addresses the skill and knowledge gaps associated with the transformation of basic research into deep technology ventures (DTVs).
_x000D_
The purpose of the I-Corps Teams program is to identify NSF-funded researchers to receive additional support in the form of entrepreneurial education, mentoring, and funding to accelerate the translation of knowledge derived from fundamental research into emerging products and services that may attract subsequent third-party funding. The outcomes of I-Corps Teams' projects are threefold: 1) a decision on a clear path forward based on an assessment of the business model, 2) substantial first-hand evidence for or against product-market fit, with the identification of customer segments and corresponding value propositions, and 3) a narrative of a technology demonstrationfor potential partners.
_x000D_
WEBINAR:
_x000D_
A webinar will be held monthly to answer questions about this program. Details will be posted on the I-Corps Teams website (seehttps://www.nsf.gov/news/special_reports/i-corps/program.jsp) as they become available.</t>
  </si>
  <si>
    <t>USAID Counter Wildlife Trafficking</t>
  </si>
  <si>
    <t>Amendment No. 01 
Issuance Date: January 15, 2021
Subject: Notice of Funding Opportunity (NOFO) No. 72044021RFA0001
Activity Title:  USAID Counter Wildlife Trafficking
The purpose of Amendment No. 01 to the NOFO No. 72044021RFA0001 is to provide responses to the questions received during the questions-answers period, as specified in Attachment 1 of this Amendment.
All information in the original NOFO remains unchanged and in full effect.
Thank you for your interest in USAID programs.
Sincerely,
s/
Bruce Gelband
Agreement Officer</t>
  </si>
  <si>
    <t>NIST MEP Competitive Awards Program</t>
  </si>
  <si>
    <t>Others (see text field entitled "Additional Information on Eligibility" for clarification) Applicants for this program must be an active MEP Center that is operating pursuant to a current NIST MEP cooperative agreement.  A MEP Center may work individually or may include proposed subawards to other organizations, including but not limited to other MEP Centers, to carry out the activities described in the proposal.  An MEP Center may serve as the MEP Center applicant on only one (1) proposal.  There are no restrictions on the number of applications in which MEP Centers may be proposed as subrecipients or as non-funded collaborators.</t>
  </si>
  <si>
    <t>NIST MEP invites applications from current MEP Centers for projects that will add capabilities to the MEP Program by achieving one or more of the criteria set forth in 15 U.S.C. 278k-1(e)(3) and may give priority during the selection process to proposals that will also address one or more of the Program Themes described in Section I. of this NOFO: Industry/Manufacturing 4.0; manufacturing workforce services to include employee recruitment, retention, and employee development; supply chain management and resiliency; and Artificial Intelligence (AI) application. Projects funded pursuant to this NOFO must provide for activities or services beyond those provided for pursuant to an applicantâ€™s and its partnering MEP Centersâ€™ base MEP Center cooperative agreements. See Section I of this NOFO for the full program description.</t>
  </si>
  <si>
    <t xml:space="preserve">USAID/ Vietnam intends to issue a Cooperative Agreement for USAID/ Vietnam's Reducing Pollution activity. The anticipated period of performance of this activity is five years.Attached is the draft Program Description (PD) of the activity. We invite your comments/feedback to this draft PD. Any responses should be submitted to Ms. Huyen Dang at not later than 9:00 Hanoi time, December 29, 2020 and all responses will be considered prior to finalizing the PD.Please be advised that this is not a Request for Applications (RFA) and does not constitute a commitment on the part of the US. Government to make an award. We anticipate releasing the Request for Applications (RFA) at the end of December, 2020 with a closing date for receipt of applications in mid-February of 2021. We look forward to receiving your comments/feedback. Thank you very much for your time and interest in the activity. </t>
  </si>
  <si>
    <t xml:space="preserve">USAID/ Vietnam intends to issue a Cooperative Agreement for USAID/ Vietnam's Partnership for Higher Education Reform activity. The anticipated period of performance of this activity is five years.Attached is the draft Program Description (PD) of the activity. We invite your comments/feedback to this draft PD. Any responses should be submitted to Ms. Huyen Dang at not later than 9:00 Hanoi time, December 21, 2020 and all responses will be considered prior to finalizing the PD.Please be advised that this is not a Request for Applications (RFA) and does not constitute a commitment on the part of the US. Government to make an award. We anticipate releasing the Request for Applications (RFA) at the end of December, 2020 with a closing date for receipt of applications in mid-February of 2021. We look forward to receiving your comments/feedback. Thank you very much for your time and interest in the activity. </t>
  </si>
  <si>
    <t>Long Term Research in Environmental Biology</t>
  </si>
  <si>
    <t>The Long Term Research in Environmental Biology (LTREB) Program supports the generation of extended time series of data to address important questions in evolutionary biology, ecology, and ecosystem science. Research areas include, but are not limited to, the effects of natural selection or other evolutionary processes on populations, communities, or ecosystems; the effects of interspecific interactions that vary over time and space; population or community dynamics for organisms that have extended life spans and long turnover times; feedbacks between ecological and evolutionary processes; pools of materials such as nutrients in soils that turn over at intermediate to longer time scales; and external forcing functions such as climatic cycles that operate over long return intervals.
_x000D_
All proposals submitted through the LTREB solicitation are processed by 1 of the 3 clusters in the Division of Environmental Biology: Ecosystem Science, Population and Community Ecology, and Evolutionary Processes. Proposals must address topics supported by these clusters. Researchers who are uncertain about the suitability of their project for the LTREB Program are encouraged to contact the cognizant Program Officer.
_x000D_
Ecological research on marine populations, communities and ecosystems is not supported by LTREB and should be directed to the Biological Oceanography Program: (https://www.nsf.gov/funding/pgm_summ.jsp?pims_id=11696 org=OCE). However, research that examines the evolutionary dynamics of marine populations or communities will be accepted. Investigators who are uncertain about the suitability of their research for LTREB are strongly encouraged to contact the managing Program Officers listed in this solicitation.
_x000D_
Examples of current LTREB awards can be viewed at https://www.nsf.gov/awardsearch/ by including 'LTREB' in a title search.
_x000D_
The Program intends to support decadal projects. Funding for an initial, 5-year period requires submission of a proposal that includes a 15-page project description containingtwo essential components: a decadal research plan and a description of core data. Proposals for the second five years of support (renewal proposals) are limited to a ten-page project description.
_x000D_
Continuation of an LTREB project beyond an initial ten-year award will require submission of a new proposal that presents a new decadal research plan.
_x000D_
Specific review criteria for LTREB proposals and renewals are explained within this solicitation. Prospective proposers are advised to read this solicitation carefully.</t>
  </si>
  <si>
    <t>Conferences and Workshops in the Mathematical Sciences</t>
  </si>
  <si>
    <t>Conferences, workshops,and related events (including seasonal schools andinternational travel by groups) support research and training activities of the mathematical sciences community. Proposals for conferences, workshops, or conference-like activities may request funding of any amount and for durations of up to three years. Proposals under this solicitation must select "Conference" as the proposal type, and they must besubmitted to the appropriate DMS programs in accordance with the lead-time requirements, submission windows, or deadlines specified on the program web page. See the DMS Programs page and click on the appropriate program for program-specific information.</t>
  </si>
  <si>
    <t>Research Interests of the United States Air Force Academy (formerly USAFA-BAA-2021)</t>
  </si>
  <si>
    <t>DOD-USAFA</t>
  </si>
  <si>
    <t>Air Force Academy</t>
  </si>
  <si>
    <t>Unrestricted (i.e., open to any type of entity above), subject to any clarification in text field entitled "Additional Information on Eligibility" White papers and proposals from Federal Agencies, including subcontracting/sub-Non-Federal Entity (NFE) efforts will not be evaluated under this BAA. Federal agencies should contact the Department of Research associated with the given technical area listed in Section I of the BAA to discuss funding through internal Government procedures.</t>
  </si>
  <si>
    <t>The USAFA invests in an active research program for three main reasons. First and foremost, research significantly enhances the cadet learning experience. Our research is done by, for and with cadets who work alongside fellow cadets and faculty mentors. Research provides cadets with rich independent learning opportunities as they tackle ill-defined problems and are challenged to apply their knowledge and abilities.Second, our research program provides opportunities essential for faculty development. Research broadens and deepens the experience base of the faculty. This infuses current, relevant, state-of-the-art and cutting-edge applications and examples into the curriculum. This also helps our faculty remain current in their respective fields.Third, at USAFA we strive to conduct research to enhance the ability of the Air Force to perform its mission. There are ongoing research projects spanning topics as diverse as super hypersonics, cyber security, spatial disorientation, athletic performance and homeland defense. This BAA offers a vehicle for research to be performed to satisfy these three objectives, while also meeting research needs of industry counterparts/serve a public purpose. USAFAâ€™s partnerships with non-Government firms enables development in the public arena, stimulating the studies in the greater technical community. All awards issued against this BAA must serve to benefit the objectives identified above.</t>
  </si>
  <si>
    <t>Combating Illegal Wildlife Trafficking</t>
  </si>
  <si>
    <t xml:space="preserve">USAID Vietnam intends to issue a Cooperative Agreement for USAID/ Vietnam's Combating Illegal Wildlife Trafficking activity. The anticipated dollar range for the five-year activity is between $14 and $16 million.
Attached is the draft Program Description (PD) of the activity. We invite your comments/feedback to this draft PD. Any responses should be submitted to Ms. Huyen Dang at not later than 9:00 Hanoi time, November 23, 2020 and all responses will be considered prior to finalizing the PD.
Please be advised that this is not a Request for Applications (RFA) and does not constitute a commitment on the part of the US. Government to make an award. We anticipate releasing the Request for Applications (RFA) at the end of November, 2020 with a closing date for receipt of applications in mid-January of 2021. 
We look forward to receiving your comments/feedback. Thank you very much for your time and interest in the activity. </t>
  </si>
  <si>
    <t>Law   Science</t>
  </si>
  <si>
    <t>The Law   Science Program considers proposals that address social scientific studies of law and law-like systems of rules, as wellas studies of how science and technology are applied in legal contexts.The Program is inherently interdisciplinary and multi-methodological.Successful proposals describe research that advances scientific theory and understanding of the connections between human behavior and law, legal institutions, or legal processes; or the interactions of law and basic sciences, including biology, computer and information sciences, STEM education, engineering, geosciences, and math and physical sciences.Scientific studies of law often approach law as dynamic, interacting with multiple arenas, and with the participation of multiple actors.Fields of study include many disciplines, and often address problems including, though not limited, to:
Crime, Violence, and Policing
Cyberspace
Economic Issues
Environmental Science
Evidentiary Issues
Forensic Science
Governance and Courts
Human Rights and Comparative Law
Information Technology
Legal and Ethical Issues related to Science
Legal Decision Making
Legal Mobilization and Conceptions of Justice
Litigation and the Legal Profession
Punishment and Corrections
Regulation and Facilitation of Biotechnology (e.g., Gene Editing, Gene Testing, Synthetic Biology) and Other Emerging Sciences and Technologies
Use of Science in the Legal Processes
LS supports the following types of proposals:
Standard Research Grants and Grants for Collaborative Research
Conference Awards
LS also participates in a number of specialized funding opportunities through NSF s cross-cutting and cross-directorate activities, including, for example: 
Faculty Early Career Development (CAREER) Program
Research Experiences for Undergraduates (REU)
Research at Undergraduate Institutions (RUI)
Grants for Rapid Response Research (RAPID)
Early-concept Grants for Exploratory Research (EAGER)
For information about these and other programs, please visit the Cross-cutting and NSF-wide Active Funding Opportunities homepage.</t>
  </si>
  <si>
    <t>Administrative Supplements to Existing NIH Grants and Cooperative Agreements (Parent Admin Supp Clinical Trial Optional)</t>
  </si>
  <si>
    <t>For profit organizations other than small businesses Other Eligible Applicants include the following:  Alaska Native and Native Hawaiian Serving Institutions; Asian American Native American Pacific Islander Serving Institutions (AANAPISISs); Eligible Agencies of the Federal Government; Faith-based or Community-based Organizations; Hispanic-serving Institutions; Historically Black Colleges and Universities (HBCUs); Indian/Native American Tribal Governments (Other than Federally Recognized); Non-domestic (non-U.S.) Entities (Foreign Organizations); Regional Organizations; Tribally Controlled Colleges and Universities (TCCUs) ; U.S. Territory or Possession.</t>
  </si>
  <si>
    <t>The National Institutes of Health (NIH) hereby notify Program Directors/Principal Investigators (PD(s)/PI(s)) holding specific types of NIH research grants listed in the full Funding Opportunity Announcement (FOA) that funds may be available for administrative supplements to meet increased costs that are within the scope of the approved award, but were unforeseen when the new or renewal application or grant progress report for non-competing continuation support was submitted. Applications for administrative supplements are considered prior approval requests (as described in Section 8.1.2.11 of the NIH Grants Policy Statement) and will be routed directly to the Grants Management Officer of the parent award. Although requests for administrative supplements may be submitted through this FOA, there is no guarantee that funds are available from the awarding IC or for any specific grant. All applicants are encouraged to discuss potential requests with the awarding IC. Additionally, prior to submission, applicants must review the awarding IC's web site to ensure they meet the IC's requirements. A list of those web sites is available at https://grants.nih.gov/grants/guide/admin_supp/index.htm.</t>
  </si>
  <si>
    <t>Transitions to Excellence in Molecular and Cellular Biosciences Research</t>
  </si>
  <si>
    <t>The Division of Molecular and Cellular Biosciences (MCB) has developed a new opportunity to enable researchers with a strong track record of prior accomplishment to pursue a new avenue of research or inquiry. This funding mechanism is designed to facilitate and promote a PI s ability to effectively adopt empowering technologies that might not be readily accessible in the PI s current research environment or collaboration network.Transformative research likely spans disciplines and minimizing the practical barriers to doing so will strengthen research programs poised to make significant contributions.The award is intended to allow mid-career or later-stage researchers (Associate or Full Professor, or equivalent) to expand or make a transition in their research programs via a sabbatical leave or similar mechanism of professional development and then develop that research program in their own lab. This award will also enable the PI to acquire new scientific or technical expertise, facilitate the investigator s competitiveness, and potentially lead to transformational impacts in molecular and cellular bioscience. The award would fund up to six months of PI salary during the first sabbatical or professional development year, followed by support for continued research for two subsequent years upon the PI s return to normal academic duties. Requests for flexibility in the timing of the sabbatical or professional development year will be considered with appropriate justification. Please contact the cognizant program director for the solicitation. Through this solicitation MCB and NSF hope to develop a novel mechanism that will encourage investigators to expand and/or transition to new research areas aligned with MCB priorities, to increase retention of investigators in science, and to ensure a diverse scientific workforce that remains engaged in active research.
_x000D_
Highest funding priority is given to proposals that have outstanding intellectual merit and broader impacts, while proposals with weaknesses in either category (or those that are perceived as likely to have an incremental impact) will not be competitive.Proposals should also demonstrate a strong record of prior accomplishment, a compelling plan for professional development that will enable the PI to forge a new direction in their scholarship, and a strong rationale for why this support is needed for the PI to become competitive in the new research area. Support for the proposed transition from the PI s department, described in a letter from the department chair or equivalent, will also be required. Proposals that do not describe a plan for a transition in research direction will be considered unresponsive. Proposals that are motivated to understand the molecular and cellular basis of disease and disease treatments are not appropriate for the Division and will be returned without review.
_x000D_
Proposals addressing major open questions at the intersections of biology with other disciplines, such as physics, chemistry, mathematics, computer sciences, and engineering are of particular interest to the program.</t>
  </si>
  <si>
    <t>Sustaining Infrastructure for Biological Research</t>
  </si>
  <si>
    <t>The Sustaining Infrastructure for Biological Research (Sustaining) Program supports the continued operation of existing research infrastructure that advances contemporary biology in any research area supported by the Directorate for Biological Sciences (BIO)at NSF. The Sustaining Program focuses primarily on sustaining critical research infrastructure that is cyberinfrastructure or biological living stocks and that is broadly applicable to a wide range of researchers. Projects are expected to ensure continued availability of existing, mature resources that will enable important science outcomes achieved by users representing a broad range of research supported by BIO and its collaborating organizations.</t>
  </si>
  <si>
    <t>Mathematical Sciences Infrastructure Program</t>
  </si>
  <si>
    <t xml:space="preserve">The primary aim of the Mathematical Sciences Infrastructure Program is to foster the continuing health of the mathematical sciences research community as a whole. In addition,the program complements the Workforce Program in the Mathematical Sciences in its goal to increase the number of well-prepared U.S. based individuals who successfully pursue careers in the mathematical sciences and in other professions in which expertise in the mathematical sciences plays an increasingly important role. The DMS Infrastructure program invites projects that support core research in the mathematical sciences, including: 1) novel projects supporting research infrastructure across the mathematical sciences community; 2) training projects complementing the Workforce Program, and 3) conference, workshop, and travel support requests that include cross-disciplinary activities or have an impact at the national scale.
Proposals under this solicitation submitted to DMS Infrastructure must show engagement in developing or enhancing the mathematical sciences research infrastructure in the U.S., including, but not limited to, broadening participation activities; professional development training; or involvement of students and early career researchers. Proposals must explain the regional or national scale impact of the activity that goes substantially beyond the submitting institution or the location of the event.
Full proposals (with exception of conference proposals, which are subject to lead-time requirements) must be submitted close to one of the Full Proposal Target Dates.
See below for more information about each category of Infrastructure projects.
(1)Novel projects that serve to strengthen the research infrastructure: The DMS Infrastructure Program will consider novel projects that support and strengthen the research infrastructure across the mathematical sciences community. These projects most often cut across multiple sub-disciplines supported by DMS or involve interdisciplinary collaborations. The main goal of these projects should be to create a new research infrastructure or substantially enhance or transform an existing infrastructure with regional or national impact that goes substantially beyond the submitting institution or the location of the project. Full proposals must be submitted by the Full ProposalTarget Date.
(2)Training projects: Training proposals submitted to DMS Infrastructure must not fit into one of the areas covered by solicitations in the Workforce Program in the Mathematical Sciences; they must be submitted by the Full ProposalTarget Date; and they must:
A. Include a core research component for trainees in mathematical sciences;
B. Demonstrate promise for an impact at the regional or national scale that goes substantially beyond the submitting institution or the location of the project;
C. Satisfy at least one of the following criteria:
i. Serve as models to be replicated,ii. Promote partnerships with non-academic entities, minority-serving institutions, or community colleges, oriii. Include a substantial broadening participation initiative.
In addition, all proposals of this type must clearly identify:
Goals to be achieved;
Specific new activities to be conducted, the way in which these address the goals, and the way in which the activities significantly differ from or enhance common practice;
Measurable outcomes for the project;
Plans and methods for assessment of progress toward the goals to be achieved, and for evaluation of the success of the activity;
Recruitment, selection, and retention plans for participants, including members of underrepresented groups;
Sustainability plans to continue the pursuit of the project's goals when funding terminates; and
A budget commensurate with the proposed activity.
3) Conferences, Symposia, Working Research Sessions, Travel Support Requests: Principal Investigators should carefully read the program solicitationConferences and Workshops in the Mathematical Sciencesto obtain important information regarding the substance of proposals for conferences, workshops, summer/winter schools, international travel support, and similar activities.Conference/workshop proposals that concern topics within a particular subdiscipline of mathematics or statistics should be submitted to the appropriate DMS disciplinary program(s). These submissions are subject to the lead-time requirements specified by the disciplinary program(s); see the program web pages listed on theDMS home page.
Conference/workshop proposals may be submitted to the DMS Infrastructure program only if the intended topical areas span a wide range of the mathematical sciences and are consequently not within the scope of DMS disciplinary programs. The required lead time for submission of such proposals is:
6 months in advance of the meeting date for proposals requesting no more than $50,000 to support a domestic meeting;
9 months in advance of the meeting date for proposals requesting more than $50,000 to support a domestic meeting;
12 months in advance of the meeting date for proposals requesting support for participation in a meeting taking place outside the United States.
</t>
  </si>
  <si>
    <t>Re-entry to Active Research Program</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</si>
  <si>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Investigators must contact a RARE program director in CBET or CHEto confirm eligibility prior to submission, depending upon which division the PI will apply to. The investigator will receive an e-mail confirmation of eligibility, which must be uploaded as a Single Copy document with the proposal submission.
_x000D_
The investigator must hold a PhD in engineering, chemistryor a closely related discipline, with prior research experiences in an area within the scope of the Division of Chemical, Bioengineering, Environmental, and Transport Systems or Division of Chemistry.
_x000D_
Application to the RARE program is not limited by demographics. Tenured or tenure-track faculty may apply. Adjunct, affiliated, research, or teaching faculty may apply if they are employed either full or part-time by an institution of higher education (IHE), provided they have a plan to seek future employment on the tenure-track. Other qualified individuals who lackIHE affiliation may apply, provided they have identified a senior research mentor at an IHE; in this select case, the mentor may serve as PI(see  Additional Eligibility  information below).
_x000D_
Investigators that have previously received a Track 1 RARE award are ineligible for a second award of either track. Investigators that have previously received a Track 2 award are ineligible for a second Track 2 award.Investigators that have previously received a Track 2 RARE award are eligible for a Track 1 award, if the Track 1 topic is related to the prior Track 2 award. PIs that are eligible for a CAREER submission are ineligible for a RARE submission. Proposals from investigatorswho have had no change in career status for an extended period of time are encouraged.
_x000D_
The RARE investigator must demonstrate a substantial decrease in research metrics that result from the research hiatus to receive a confirmation of eligibility.The metrics must be communicated to a RARE program director to receive an e-mail confirmation of eligibility. Also, full documentation of these metrics should be included in a full curriculum vitae that is uploaded as a Single Copy document with the proposal. Applicable research metrics include: (1) research publication activity; (2) external research support as PI or co-PI, at a funding level that is consistent with a typical CBET or CHEindividual investigator award; (3) resources with which to collect preliminary data. A Track 1 investigator must demonstrate a decrease in one or more metrics. A Track 2 investigator must demonstrate a lack of activity in all three metrics in the new area of interest (publications and funding in other areas are allowed). Examples of acceptable documentation of these metrics include: a full curriculum vitae with all publications and funding activity, a budget balance sheet showing funds from current awards are fully committed, a lack of support for research staff, reviews from a proposal saying preliminary data is needed, declined seed grant proposal from home institution, a lack of access to a necessary collaborator. Other metrics and means for documentation of the metric may be considered, after consultation with a RARE program director. The curriculum vitae should be formatted such that a decline in the r</t>
  </si>
  <si>
    <t>The Division of Chemical, Bioengineering, Environmental, and Transport Systems (CBET) and the Division of Chemistry (CHE) are conducting a Re-entry to Active Research (RARE) program to reengage, retrain, and broaden participation within the academic workforce. The primary objective of the RARE program is to catalyze the advancement along the academic tenure-track of highly meritorious individuals who are returning from a hiatus from active research. By providing re-entry points to active academic research, the RARE program will reinvest in the nation s most highly trained scientists and engineers, while broadening participation and increasing diversity of experience. A RARE research proposal must describe potentially transformative research that falls within the scope of participating CBET or CHEprograms.
_x000D_
The RARE program includes two Tracks to catalyze the advancement of investigators along the academic tenure system after a research hiatus, either to a tenure-track position or to a higher-tenured academic rank. Track 1 of the RARE program reengages investigators in a competitive funding opportunity with accommodations for gap in record that are a result of the research hiatus. A Track 1 proposal will follow the budgetary guidelines of the relevant CBET program for an unsolicited research proposal or the relevant CHE Disciplinary Research program. Track 2 retrains investigators for whom the research hiatus has led to the need for new or updated techniques, such that retraining is required to return the investigator to competitive research activity. A description of how these new techniques will lead to competitive research in CBET or CHE programs is required. A Track 2 proposal budget will include only funds necessary for specific retraining activities, such as travel to a workshop or conference, workshop registration fees, a retraining sabbatical, or seed funding to support collection of preliminary data (including salary support, equipment usage fees, materials, and/or supplies).
_x000D_
General inquiries regarding this program should be made to:
_x000D_
RAREquestions@NSF.GOV or a RARE Program Officer listed below.</t>
  </si>
  <si>
    <t>US Army Combat Capabilities Development Command Broad Agency Announcement</t>
  </si>
  <si>
    <t>DOD-AMC-ACCAPGN</t>
  </si>
  <si>
    <t>ACC APG - Natick</t>
  </si>
  <si>
    <t>Unrestricted (i.e., open to any type of entity above), subject to any clarification in text field entitled "Additional Information on Eligibility" See BAA Solicitation for Eligibility Criteria</t>
  </si>
  <si>
    <t>Broad Agency Announcement Solicitation for the US Army Combat Capabilities Development Command - Soldier Center (CCDC-SC). Please see the BAA solicitation document for the submission instructions and areas of interest. This posting is not for a specific requirement - only to post the BAA solicitation so that interested parties can submit white papers and proposals for grants and other assistance agreements.</t>
  </si>
  <si>
    <t>Plant Biotic Interactions</t>
  </si>
  <si>
    <t>Others (see text field entitled "Additional Information on Eligibility" for clarification) *Who May Submit Proposals: Proposals may only be submitted by the following:
  -Non-profit, non-academic organizations: Independent museums, observatories, research laboratories, professional societies and similar organizations located in the U.S. that are directly associated with educational or research activities.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
USDA/NIFA Eligible applicants include: (1) State agricultural experiment stations; (2) colleges and universities (including community colleges offering associate degrees or higher); (3) university research foundations; (4) other research institutions and organizations; (5) Federal agencies, (6) national laboratories; (7) private organizations or corporations; (8) individuals who are U.S. citizens, nationals, or permanent residents; and (9) any group consisting of 2 or more entities identified in (1) through (8). Eligible institutions do not include foreign and international organizations.</t>
  </si>
  <si>
    <t>The Plant Biotic Interactions (PBI) program supports research on the processes that mediate beneficial and antagonistic interactions between plants and their viral, bacterial, oomycete, fungal, plant, and invertebrate symbionts, pathogens and pests. This joint NSF/NIFA program supports projects focused on current and emerging model and non-model systems, and agriculturally relevant plants. The program s scope extends from fundamental mechanisms to translational efforts, with the latter seeking to put into agricultural practice insights gained from basic research on the mechanisms that govern plant biotic interactions. Projects must be strongly justified in terms of fundamental biological processes and/or relevance to agriculture and may be purely fundamental or applied or include aspects of both perspectives. All types of symbiosis are appropriate, including commensalism, mutualism, parasitism, and host-pathogen interactions. Research may focus on the biology of the plant host, its pathogens, pests or symbionts, interactions among these, or on the function of plant-associated microbiomes. The program welcomes proposals on the dynamics of initiation, transmission, maintenance and outcome of these complex associations, includingstudies of metabolic interactions, immune recognition and signaling, host-symbiont regulation, reciprocal responses among interacting species and mechanisms associated with self/non-self recognition such as those in pollen-pistil interactions. Explanatory frameworks shouldinclude molecular, genomic, metabolic, cellular, network and organismal processes, with projects guided by hypothesis and/or discovery driven experimental approaches. Strictly ecological projects that do not address underlying mechanisms are not appropriate for this program. Quantitative modeling in concert with experimental work is encouraged. Overall, the program seeks to support research that will deepen our understanding of the fundamental processes that mediate interactions between plants and the organisms with which they intimately associate and advance the application of that knowledge to benefit agriculture.</t>
  </si>
  <si>
    <t>Local Capacity Strengthening for Response (LCS4R)</t>
  </si>
  <si>
    <t>Unrestricted (i.e., open to any type of entity above), subject to any clarification in text field entitled "Additional Information on Eligibility" See NOFO Section III for applicant eligibility details</t>
  </si>
  <si>
    <t>Under this Request for Applications (RFA), the United States Agency for Development (USAID), Office of Foreign Disaster Assistance, will consider applications to support organizational capacity development of local and national NGOs. Applicant eligibility information for this RFA is described in Section III of the Notice of Funding Opportunity (NOFO). Subject to the availability of funds, USAID intends to award up to three cooperative agreements to responsible applicants whose application best meets the objectives of this NOFO and the selection criteria contained herein. USAID reserves the right to fund one or more or none of the applications submitted.</t>
  </si>
  <si>
    <t>Low-Cost Chip-Scale Atomic Clock (LC CSAC)</t>
  </si>
  <si>
    <t>Others (see text field entitled "Additional Information on Eligibility" for clarification) This special notice seeks proposals from one or more for-profit firms in accordance with 32 CFR 37.210.  A consortium, led by a for-profit firm, is also encouraged.</t>
  </si>
  <si>
    <t>**PLEASE REVIEW FULL SPECIAL NOTICE**
Funding Opportunity Title: Low-Cost Chip-Scale Atomic Clock (LC CSAC)
Funding Instrument Type: Technology investment agreement
The aim of this Special Notice under the ARL BAA (W911NF-17-S-0003), under Grants.gov Opportunity W911NF-17-S-0003-SPECIALNOTICE-LC-CSAC, is to fund a team or multiple teams to design, manufacture, and deliver a battery-powered atomic clock that achieves identical (or better) size, weight, and power (SWaP) and performance to the commercially available chip-scale atomic clock (CSAC) with a selling price goal of   $300/unit in high volume.
Precise timing is critical for numerous Army applications such as navigation, communications, surveillance, and synchronization of sensors and systems. Assured PNT solutions currently rely on acquiring GPS signals, which may not be readily available in increasingly contested environments. Commercially available silicon MEMS and quartz oscillators (TCXO, OCXO) are unable to provide GPS holdover in the event of a GPS outage, except for high-end OCXOs that may be considered large and power hungry for certain applications. To ease reliance on GPS, long-holdover clocks with SWaP-C appropriate for various DoD platforms are necessary to enable mission-critical functions even in contested environments. Current high-performance atomic clocks (maser, laser-cooled cesium fountain) serve as standards and are large, expensive, and require regular monitoring and exquisite environmental control.
Since the early 2000s, the chip-scale atomic clock (CSAC) has been developed and successfully matured into a commercial product with DARPA and industry investment. While an Army/Air Force/OSD Manufacturing Technology effort further reduced the manufacturing cost1, the current selling price is still prohibitive for high-volume, low-SWaP DoD platforms. There is an opportunity to leverage the many advances in MEMS, photonics, and atomic physics over the past two decades to develop state-of-the-art, high-performance, battery-powered atomic clocks with improved manufacturability, significantly reduced cost, and improved performance.
This special notice seeks proposals from one or more for-profit firms in accordance with 32 CFR 37.210. A consortium, led by a for-profit firm, is also encouraged.
Points of Contact:
Jonathan Hoffman
jonathan.e.hoffman.civ@mail.mil
Jenna Chan
Jenna.f.chan.ctr@mail.mil</t>
  </si>
  <si>
    <t>Small Grants Program</t>
  </si>
  <si>
    <t>Others (see text field entitled "Additional Information on Eligibility" for clarification) The U.S. Mission Geneva welcomes applications from both individuals and organizations based in Geneva or abroad. Registered not-for-profit organizations, including think tanks and civil society/non-governmental organizations, individuals, non-profit or educational institutions, and governmental institutions are eligible to apply. For-profit or commercial entities are not eligible to apply.Eligible proposals will be subject to compliance of U.S. Federal and Public Diplomacy regulations and guidelines, and may also be reviewed by the Office of the Legal Adviser or by other State Department elements. Proposals will be funded based on an evaluation of how the proposal meets the solicitation review criteria, U.S. foreign policy objectives, and Mission priorities.2. Cost Sharing or MatchingCost-sharing is not mandatory for projects, but highly encouraged.</t>
  </si>
  <si>
    <t>The United States Mission to the United Nations and Other International Organizations in Geneva advances U.S. policy at more than 100 international organizations in Geneva. The U.S. Mission engages daily on issues as diverse as humanitarian assistance, global health, international trade, peace and security, arms control, and human rights.The Program:The United States Mission in Geneva is accepting project proposals for its fiscal year 2020 Small Grants Program. The Small Grants Program permits individuals, non-government organizations, think tanks, and government and academic institutions to seek funding for projects that promote U.S. policy priorities in the multilateral sphere. All programs must include a U.S. element or connection. Awards will be made to successful applicants subject to the availability of appropriated funds.Programs can include, but are not limited to, academic and professional lectures or panel discussion; exhibitions and cultural programs; professional and academic exchanges; professional development workshops and training; or public awareness campaigns.Priority Program Areas:Though all submitted projects will be considered for funding, we are currently giving priority to projects that highlight:Human rights, including protection of human rights defendersFreedom of religion or beliefPromoting peace and securityPublic-private partnershipsPreserving core UN valuesPromoting transparency, accountability, and efficiency in the UN systemFurther details about the program and how to apply at the following link: https://geneva.usmission.gov/annual-program-statement/</t>
  </si>
  <si>
    <t>Higher Education for Leadership, Innovation, and Exchange (HELIX), A New Partnerships Initiative (NPI)</t>
  </si>
  <si>
    <t xml:space="preserve">USAID DDI Bureau Center for Education in partnership with Mission(s), Bureaus, and Independent Offices (M/B/IOs) from across the Agency, through this Higher Education for Leadership, Innovation, and Exchange (HELIX) Annual Program Statement (APS) aims to improve partner country higher education individual, institutional, and organizational capacity for change by supporting opportunities for partnerships, scholarships, exchanges, fellowships, internships, apprenticeships, work-based learning, research, communities of practice, and other relevant forms of capacity development and change management. The aim of this APS is to support solutions that will create meaningful change at the individual, institutional, and/or system level, with, in connection to, or through higher education, as a country moves forward in its Journey to Self-Reliance. This is planned to be achieved under the umbrella of the New Partnerships Initiative (NPI).  
The Higher Education for Leadership, Innovation, and Exchange (HELIX) APS is not a Request for Applications (RFA). Rather, the HELIX APS requests Concept Note(s) in response to addenda published under this APS. Based on the submitted Concept Note(s) in response to active addenda under this APS, USAID will determine whether to request a Full Application from an eligible organization. Concept Note(s) and/or Full Application to the APS will not be accepted.  
USAIDâ€™s DDI Bureau Center for Education and supporting Bureaus anticipate awarding multiple grants and/or cooperative agreements as there is no predefined minimum or maximum number of awards. The following addenda/addendum are currently open under HELIX:  
Please search for a current HELIX Addendum opportunity for Higher Education Partnership for Disaster Resilient Infrastructure (HEP-DRI)- 72038623RFA00006 closing October 20, 2023. </t>
  </si>
  <si>
    <t>UNITED STATES MILITARY ACADEMY Broad Agency Announcement</t>
  </si>
  <si>
    <t>Others (see text field entitled "Additional Information on Eligibility" for clarification) Eligible applicants under this BAA include institutions of higher education, nonprofit organizations, state and local governments, foreign organizations, foreign public entities, and for-profit organizations (i.e. large and small businesses) for scientific, technology, engineering, mathematics, education, policy development, ethics, culture, history, and economic analyses projects and proposals. Whitepapers and proposals will be evaluated only if they are for novel study and experimentation directed toward advancing the state of the art or increasing basic knowledge and understanding. Whitepapers and proposals focused on specific devices or components are beyond the scope of this BAA.For foreign public entities or foreign organizations, see Section II.C.3.a below for further information. There is no restriction on the place of performance for awards issued under this BAA.</t>
  </si>
  <si>
    <t>The U.S. Military Academy at West Point's mission is "to educate, train, and inspire the Corps of Cadets so that each graduate is a commissioned leader of character committed to the values of Duty, Honor, Country and prepared for a career of professional excellence and service to the Nation as an officer in the United States Army." The United States Military Academy is located at West Point, New York. USMA executes research to enhance the education of cadets, develop the faculty professionally, and address important issues facing the Army and the Nation. In addition, the Academy conducts research and analysis in emerging fields that may realize novel or vastly improved Army capabilities. At West Point, research is organized and administered through centers and institutes, most of which reside within academic departments. These centers and institutes, affiliated with each other through the Academy Research Council (ARC), coordinated and supported by the Academic Research Division (ARD), provide the infrastructure necessary to tackle the nationâ€™s and the worldâ€™s most challenging problems. Our research centers and institutes bring context to the classroom, are central to our vibrant and pioneering faculty, and are one way West Point connects to the Army and to the Nation. Our students are driven, our faculty is world-class, and through our centers, scholars and scientists thrive and produce their best work. Cadets regularly win Best Paper Awards at national and international graduate-level conferences, our faculty hold fellowships and chairmanships in their discipline's national organizations and our products are deployed to the soldier. In addition to applied research, there are centers and institutes at West Point that focus on other aspects of the USMA mission.The USMA BAA identifies topics of interest to the USMA departments, directorates, and research centers and institutes. These groups focus on executing in-house research programs, with a significant emphasis on collaborative research with other organizations. The groups fund a modest amount of extramural research in certain specific areas, and those areas are described in this BAA.The USMA BAA seeks proposals from institutions of higher education, nonprofit organizations, state and local governments, foreign organizations, foreign public entities, and for-profit organizations (i.e., large and small businesses) for research based on the following campaigns: Socio-Cultural; Information Technology; Ballistics, Weapons, and Protections; Energy and Sustainability; Materials, Measurements, and Facilities; Unmanned Systems and Space; Human Support Systems; and Artificial Intelligence, Machine Learning, and Quantum Technologies.Proposals are sought for cutting-edge innovative research that could produce discoveries with a significant impact to enable new and improved Army technologies and related operational capabilities and related technologies. The specific research areas and topics of interest described in this document should be viewed as suggestive, rather than limiting.</t>
  </si>
  <si>
    <t>YouthPower 2 (YP2) Annual Program Statement (APS)</t>
  </si>
  <si>
    <t xml:space="preserve">The YouthPower 2 Annual Program Statement (APS) provides a vehicle for engaging with youth-led and youth-serving organizations, among others, and systems to generate cross-sectoral, positive youth development outcomes. The APS disseminates information to prospective Applicants so they may develop and submit Concept Notes in response to the addenda and ultimately to be considered for USAID funding. This APS describes and provides: 
â–ª The types of activities for which Concept Notes and Applications will be considered; 
â–ª Available funding, process, and requirements for submitting Concept Notes and Application; 
â–ª The criteria for evaluating Concept Notes and Application; and 
â–ª Relevant documentation and resources. 
More specifically, the YouthPower 2 (YP2) APS is designed to provide a vehicle to engage with, among others, youth-led and youth-serving organizations and systems broadly and creatively, to support cross-sectoral, positive youth development outcomes.  
The YP2 APS is not a Request for Applications (RFA). Rather, the YP2 APS requests Concept Notes in response to addenda published under this APS. Based on the submitted Concept Note(s) in response to active addenda under this APS, USAID will determine whether to request a Full Application from an eligible organization. Concept Note(s) and/or Full Application to the APS will not be accepted.  
USAIDâ€™s DDI Bureau Center for Education and supporting Bureaus anticipate awarding multiple grants and/or cooperative agreements as there is no predefined minimum or maximum number of awards.  
Please search for current YP2 addenda opportunity Senegal - Access to Education 72068524APS00001 closing April 30, 2024 and Youth Open Geospatial Data Activity (YODA) closing May 6, 2024. 
</t>
  </si>
  <si>
    <t>U.S. Embassy Praia Ambassador s Special Self-Help (SSH) Program</t>
  </si>
  <si>
    <t>DOS-CPV</t>
  </si>
  <si>
    <t>U.S. Mission to Cape Verde</t>
  </si>
  <si>
    <t>Others (see text field entitled "Additional Information on Eligibility" for clarification) An SSH project must be submitted by an organized group that is motivated, has identified a real need, and has already successfully implemented projects in the community. The project should be feasible and based on the socio-economic context of the local community. Organizational Requirements: All applicants must be registered Non-Profit Organizations (NPOs). We welcome proposals from Community and Non-Governmental Organizations (NGOs) that work directly with communities. Organizations must be able to demonstrate that they have adequate internal controls and financial systems in place. In order to be eligible to receive an award, all organizations must also have a Unique Entity Identifier (UEI) number issued via www.SAM.gov as well as a valid registration on www.SAM.gov. To be eligible for funding the project must meet the following criteria: The project should help improve basic economic or social conditions at the local community level and have long-term value. The project should be high impact, benefiting the greatest number of people possible. Substantial community participation in the activity is required. Contributions may include labor, materials (bricks, sand, gravel, seeds, etc.), land, buildings, or money that is given to ensure the success of the project. [See the section below on  Local Community Involvement ]._x000D_
Funding is limited to one project, which must be completed within twelve (12) months or less._x000D_
Projects must be self-sustaining upon completion. The U.S. Embassy s support for the project is a one-time-only grant contribution. Projects must be within the community s ability to maintain and operate. Requests for large-scale agriculture or construction projects, or for expensive equipment are not considered priority projects._x000D_
Managers of a project should have proof that they are financially responsible and will be able to account for funds sent to them. Having a bank account, or establishing credit with vendors, are examples of such evidence. The requested amount for implementing activities cannot exceed $10,000. Project budgets generally range from $4,000 to $8,000. Limitations/Exclusions from Eligibility: The Self-Help Program may only pay for items and technical assistance that are absolutely necessary for the completion of the project. The program cannot be used for administrative costs, salaries, costs associated with the project manager, travel to and from the Embassy, or items that are not permanent in nature. Costs incurred prior to the actual award of a grant will be reimbursed only by pre-approval of the grants officer at the sole discretion of the Embassy. Additionally, the Special Self-Help Program does not fund:_x000D_
Requests to buy equipment like vehicles, office equipment, copiers, or stereos. Proposals that have a purely police, military, or cultural emphasis. Religious projects unless they genuinely assist the whole community without regard to religious affiliation._x000D_
Personal businesses. Scholarships, donations, or honorariums. Payment for pesticides, herbicides, labor, salaries, operating costs, printing material, fuel, or land._x000D_
To remodel or renovate an existing facility that is in disrepair as a result of neglect or lack of money._x000D_
Office supplies such as pencils, paper, forms, and folders._x000D_
Projects that are partially funded by another donor or from the government of Cabo Verde. Funds cannot be commingled with funds from other donors, international organization, or other U.S. government programs._x000D_
Projects that focus on refugees or displaced persons. There are specific U.S. bilateral or multilateral assistance programs designed to address their needs._x000D_
SSH funds may not be used to buy previously owned equipment, luxury goods, or gambling equipment._x000D_
Salaries or supervision costs for the supervising organization. Contingency estimates also do not qualify._x000D_
We encourage you to contact us with questions.</t>
  </si>
  <si>
    <t>U.S. Embassy Praia welcomes the submission of project applications for funding through the Ambassadorâ€™s Special Self-Help Program (SSH). If interested, please carefully review the instructions below. 
The SSH is a grass-roots grant assistance program that allows U.S. Ambassadors to support local requests for small community-based development projects. The purpose of the Special Self-Help Program is to support communities through modest grants that will positively impact local communities. The SSH philosophy is to help communities help themselves. Projects submitted for SSH must align with one or more U.S. Embassy priorities:  
Economic diversification, including small business creation and income generation  
Projects must aim to 1) generate sustainable income and employment opportunities in local communities, 2) advance economic diversification and encourage use of local natural resources or income generation, 3) promote a culture of entrepreneurship, and/or 4) improve economic or living conditions of a community. 
Women start-ups and women entrepreneurs 
Eligible projects assist women who are launching a business or who are overseeing the early stages of business development (between one to two years). Such projects must promote a culture of women-led entrepreneurship and innovation that can be replicated in the community. Projects must also promote profitable businesses that generate revenue and benefit the community. 
Social and economic inclusion and creation of opportunities 
Projects in this category must assist youth, children, women (particularly female heads of household), and other vulnerable groups to gain access to basic services (for example water, sanitation, and primary/pre-K education). They can also assist the creation of opportunities for vulnerable groups, particularly employment for youth. 
Environmental protection, sustainability, resilience to environmental vulnerabilities, and adaptation to environmental change 
Eligible projects will increase the capacity of communities to cope with vulnerability to drought and other environmental changes by building resilience, increasing capacity to adapt, and promoting income-generating activities. For example, projects may involve activities to improve water management, diversify agricultural practices, or provide benefits to the environment. 
 Local Community Involvement:  
 Local involvement of the organization or group must be at least 10% in cash or in kind of the total project costs. The community contribution of funding may be crucial to make a choice between two viable requestors. In-kind contributions could be: labor (wages of masons and workers), food, accommodation for qualified labor, carts of sand or gravel, bricks for construction, sand, fence, water supply, transportation costs, donations of materials etc. 
Additionally, community leaders can sign a statement of interest. Community leaders include local municipal leaders, religious leaders, civil society leaders, or any governing body that has oversight over where the project will be implemented. One community leader can sign the statement of interest; however, multiple signatures are strongly encouraged. Community leaders may also submit letters of support for the project. 
 Elements of a Successful Project 
 The project is initiated by the community. 
 The project plan contains pre-established long-term goals and a coherent plan to keep the project running in the future. 
 A capable project manager who is a long-term resident in the community is responsible for the project. 
 There is strong coordination and communication among the grant recipient, local leaders, and local government representatives. 
 The project makes use of materials and supplies that can be maintained by the community, and the materials that will not harm the environment. 
 The project has a high beneficiary to budget ratio, benefiting a significant number of community members 
 The project budget is clear, complete, and well defined. 
 The project responds to a community need and is based on a well-developed proposal that is responsive to the priorities and criteria explained in this NOFO. 
 Project activities and results show long-term sustainability. 
Application Documents and Procedures 
1. Applications for Special Self-Help Funds should include the following: 
a. Completed SSH form, which can be downloaded here. 
b. Detailed building plan with dimensions (if necessary/ if small-scale construction envisioned in the project proposal). 
c. Project location (include map if available). 
d. Any additional information/literature you have about your organization and/or project. 
 2. The following documents are required:  
 Mandatory application forms 
Â· (Application for Federal Assistance â€“ organizations)  
Â· (Budget Information for Non-Construction programs) 
 The forms can be downloaded from grants.gov. Instructions are available on the Embassy website at the  grant support resources toolkit 
3. Make sure that the below is addressed in your SSH form, or submit the following: Summary Page: Cover sheet stating the applicantâ€™s name and organization, proposal date, program title, program period proposed start and end date, and brief purpose of the program. Proposal (3 pages maximum): The proposal should contain sufficient information that anyone not familiar with it would understand exactly what the applicant wants to do. You may use your own proposal format, but it must include. Proposal Summary: Short narrative that outlines the proposed program, including program objectives and anticipated impact. Introduction to the Organization or Individual applying: A description of past and present operations, showing ability to carry out the program, including information on all previous grants from the U.S. Embassy and/or U.S. government agencies. Problem Statement: Clear, concise and well-supported statement of the problem to be addressed and why the proposed program is needed. Program Goals and Objectives: The â€œgoalsâ€ describe what the program is intended to achieve. The â€œobjectivesâ€ refer to the intermediate accomplishments on the way to the goals. These should be achievable and measurable. Program Activities: Describe the program activities and how they will help achieve the objectives. Program Methods and Design: A description of how the program is expected to work to solve the stated problem and achieve the goal. Include a logic model as appropriate. Proposed Program Schedule and Timeline: The proposed timeline for the program activities. Include the dates, times, and locations of planned activities and events. Key Personnel: Names, titles, roles and experience/qualifications of key personnel involved in the program. What proportion of their time will be used in support of this program? Program Partners: List the names and type of involvement of key partner organizations and sub-awardees. Program Monitoring and Evaluation Plan: This is an important part of successful grants. Throughout the time-frame of the grant, how will the activities be monitored to ensure they are happening in a timely manner, and how will the program be evaluated to make sure it is meeting the goals of the grant? Future Funding or Sustainability Applicantâ€™s plan for continuing the program beyond the grant period, or the availability of other resources, if applicable. 
 4. Budget Justification Narrative: After filling out the SF-424A Budget (above), use a separate sheet of paper to describe each of the budget expenses in detail. 
 Proposals can be submitted in English or Portuguese languages.  
Submit the complete application package to the U.S. Self-Help Coordinator/ Praia Grants. Applications will be accepted in electronic format, on a rolling basis. Email all required information to praiagrants@state.gov 
 Application Deadline: Applications received after will be considered with the next application period or will not be considered. Project selections will be announced by October. 
Applications will be evaluated on the following factors:  Did the applicant submit all of the materials requested, including but not limited to requirements in the SSH forms found on U.S. Embassy Praiaâ€™s website. Embassy priorities: Does the application describe how the projectâ€™s goals are related to the Embassy priorities stated in this document? Sustainability: Is the project sustainable in the long term? Will the project be able to continue without additional investment? Are the suggested measurements of success adequate? Need: Does the project adequately fulfill a stated need within a community? Budget: Is the budget complete, and well defined? Is the budget reasonable? Completion within one year: Can the project be completed in a single year? Community support: Does the project show strong community support? Impact: Does the project benefit the broadest numbers of beneficiaries possible? Is there a substantial impact on the affected community? Contribution and Group Capabilities: Does the group provide adequate resources and show commitment to the project? Is the group capable of administering the project as designed? 
 Review and Selection Process: A review committee will evaluate all eligible applications.  
Other Required Documentation/ Reporting: Groups selected for funding will subsequently need to submit several required forms, including U.S. Standard Form 424, a grants award document, and any other terms and conditions required by U.S. Embassy Praia. Performance and financial reports will be required throughout the duration of the award. 
Publicity Campaign: It is expected that publicity will be given to the Ambassadorâ€™s Special Self-Help program and its projects, including press and radio releases, photographs, and project site plaques that acknowledge the shared efforts of Cabo Verde and the United States. Publicity costs should be considered in the proposed budget. 
Funding: U.S. Embassy Praia is not required to fund any applications. Submitting an application does not guarantee selection.</t>
  </si>
  <si>
    <t>USAID Biodiversity Conservation</t>
  </si>
  <si>
    <t>Amendment 1: Questions   Answers</t>
  </si>
  <si>
    <t>Staff Research Program</t>
  </si>
  <si>
    <t>Others (see text field entitled "Additional Information on Eligibility" for clarification) Eligible applicants under this BAA include institutions of higher education with recognizedcapability for scientific research in mechanical sciences, mathematical sciences, electronics,computing science, physics, chemistry, life sciences, materials science, network science, andenvironmental sciences.</t>
  </si>
  <si>
    <t>The ARO is soliciting proposals for Staff Research Program opportunities. The purpose of the program is to enable ARO scientific staff to maintain and expand professional competence in support of fulfilling the ARO mission through the conduct of hands-on, basic research. The staff research will be performed collaboratively with institutions external to ARO. Staff research efforts will involve scientific study directed toward advancing the state-of-the-art or increasing knowledge and scientific understanding in engineering, physical, life and information sciences, when there is an intersection with the interests and capabilities of the participating external institutions in these basic research areas.Protection of Mission Integrity: The primary role of the ARO scientific staff is to objectively assess and fund extramural research at numerous institutions across the U.S. and throughout the world. Since it is vitally important that the ARO be impartial in its actions, ARO scientists cannot engage in activities that could compromise the perceived objectivity of that scientist with respect to the institution, or with respect to the areas of science/engineering that they are responsible for as Program Managers. Consequently, ARO Program Managers will be disqualified from taking official actions regarding any institution at which that PM conducts Staff Research.Staff research will be conducted, directed and managed by an ARO scientist at the institution's laboratory facilities or field research sites, in collaboration with a PI designated by the institution. ARO scientists will not be named as a PI on any proposal or resulting award. Results of the Staff Research Program may include publication or co-authorship of research results and presentation at scientific forums, and contribute to the education and training of students, in accordance with the terms of the cooperative agreement.NOTE: ARO scientific staff will seek out a collaborating institution to engage in staff research as opportunities arise and at the discretion of ARO.</t>
  </si>
  <si>
    <t>Expeditions in Computing</t>
  </si>
  <si>
    <t>Others (see text field entitled "Additional Information on Eligibility" for clarification) *Who May Submit Proposals: Proposals may only be submitted by the following:
  -
Institutions of Higher Education (IHEs)accredited in, and having a campus located in the U.S.,with undergraduate, masters, and doctoral programs in computer and information science and engineering fields may submit proposals as lead or collaborative institutions. Subawardees may include two-and four-year U.S. IHEs,non-profit non-academic organizationssuch as independent museums, institutes, observatories, professional societies and similar organizations located in the U.S. that are directly associated with education or research activities in the computer and information science and engineering fields. Other organizations such as national laboratories, for-profit organizations and organizations in other countries may participate in the proposed activities if they have independent sources of support; they will not be supported by NSF.</t>
  </si>
  <si>
    <t>The far-reaching impact and rate of innovation in the computer and information science and engineering  elds has been remarkable, generating economic prosperity and enhancing the quality of life for people throughout the world.
More than a decade ago, the National Science Foundation s (NSF) Directorate for Computer and Information Science and Engineering (CISE) established the Expeditions in Computing (Expeditions) program to build on past successes and provide the CISE research and education community with the opportunity to pursue ambitious, fundamental research agendas that promise to de ne the future of computing and information.
In planning Expeditions projects, investigators are strongly encouraged to come together within or across departments or institutions to combine their creative talents in the identi cation of compelling, transformative research agendas that look ahead by at least a decade and promise disruptive innovations in computer and information science and engineering for many years to come.
Now funded at levels up to $15,000,000 for seven years, Expeditions projects represent some of the largest single investments currently made by the CISE directorate. Together with the Science and Technology Centers and the National Artificial Intelligence Research Institutes that CISE supports, Expeditions projects form the centerpiece of the directorate's center-scale award portfolio. With awards funded at levels that promote the formation of large research teams, CISE recognizes that concurrent research advances in multiple  elds or sub- elds are often necessary to stimulate deep and enduring outcomes. The awards made in this program will complement research areas supported by other CISE programs, which target particular computer and information science and engineering  elds.
Additionally, CISE offers Innovation Transition (InTrans) awards for teams nearing the end of their Expeditions as well as Secure and Trustworthy Cyberspace (SaTC) and Cyber-Physical Systems (CPS) Frontier projects. The goal of InTransis to continue the long-term vision and objectives of CISE s center-scale projects. Through InTrans awards, CISE will provide limited funds to match industry support.</t>
  </si>
  <si>
    <t>Foundational Research in Robotics</t>
  </si>
  <si>
    <t>The Foundational Research in Robotics (FRR) program, jointly led by the CISE and ENG Directorates, supports research on robotic systems that exhibit significant levels of both computational capability and physical complexity. For the purposes of this program, a robot is defined as intelligence embodied in an engineered construct, with the ability to process information, sense, plan, and move within or substantially alter its working environment. Here intelligence includes a broad class of methods that enable a robot to solve problems or to make contextually appropriate decisions and act upon them. The program welcomes research that considers inextricably interwoven questions of intelligence, computation, and embodiment. Projects may also focus on a distinct aspect of intelligence, computation, or embodiment, as long as the proposed research is clearly justified in the context of a class of robots.
_x000D_
The focus of the FRR program is on foundational advances in robotics. Robotics is a deeply interdisciplinary field, and proposals are encouraged across the full range of fundamental engineering and computer science research challenges arising in robotics. To be responsive to the FRR program, each proposal should clearly articulate the following three points:
_x000D_
_x000D_
The focus of the research project should be a robot or a class of robots, as defined above. [Is there a robot?]_x000D_
The goal of the project should be to endow a robot or a class of robots with new and useful capabilities or to significantly enhance existing capabilities. [Will a robot gain a new or significantly improved capability?]_x000D_
The intellectual contribution of the proposed work should address fundamental gaps in robotics. [Is robotics essential to the intellectual merit of the proposal?]_x000D_
_x000D_
Meaningful experimental validation on a physical platform is encouraged.
_x000D_
Projects that do not represent a direct fundamental contribution to the science of robotics or are better aligned with other existing programs at NSF should not be submitted to the FRR program.
_x000D_
Potential investigators are strongly encouraged to discuss their projects with an FRR Program Officer before submission. Non-compliant proposals may be returned without review.</t>
  </si>
  <si>
    <t>Energy Sector Self-Reliance BAA</t>
  </si>
  <si>
    <t xml:space="preserve">This Broad Agency Announcement (BAA) seeks opportunities to co-create, co-design, and co-invest in the research, development, piloting, and scaling of innovative and cost-effective interventions to support the advancement of self-reliant energy sectors in developing countries. The United States Agency for International Development (USAID) invites organizations, companies, government agencies, academic and research institutions, and investors1 to propose innovative approaches to address the diverse set of challenges faced by countries that are striving to achieve universal access to reliable, affordable, and sustainable energy services. USAIDâ€™s Office of Energy and Infrastructure (E+I) within the Bureau for Economic Growth, Education and Environment (E3), developed this BAA for Energy Sector Self-Reliance to expand the Agencyâ€™s ability to engage with a wide range of implementing partners and service providers within the global energy sector, and develop new means to rapidly deliver tailored, best-in-class assistance and technologies to help strengthen national and regional energy systems. The opportunity to do so will be provided through subsequent Addenda issued under this BAA.
Addendum to BAA-OAA-E3-ENERGY-2020 New Approaches to Promoting Energy Sector Sustainability, has been posted as an attachment to the original announcement on February 10, 2020.
Amendment 01 FAQs to Addendum to BAA-OAA-E3-ENERGY-2020 New Approaches to Promoting Energy Sector Sustainability, has been posted as an attachment to the original announcement on February 28, 2020.
***The deadline for submitting questions for EOIs Focus Areas 2, 3, and 4 has been changed from February 23 to March 20. ***
***Please send all questions to energynewapproaches@usaid.gov***
Amendment 02 to Addendum to BAA-OAA-E3-ENERGY-2020 New Approaches to Promoting Energy Sector Sustainability, has been posted as an attachment to the original announcement on March 6, 2020. EOI submission deadline for Focus Area 1 of the Energy BAA from March 6, 2020 to March 17, 2020. The anticipated co-creation workshop date has been changed to April/May 2020. 
Amendment 03 to Addendum to BAA-OAA-E3-ENERGY-2020 New Approaches to Promoting Energy Sector Sustainability, has been posted as an attachment to the original announcement on March 17, 2020. FAQs have been updated.
Amendment 04 to Addendum to BAA-OAA-E3-ENERGY-2020 New Approaches to Promoting Energy Sector Sustainability, has been posted as an attachment to the original announcement on April 2, 2020. Addendum 01 has been updated to exted the deadline to respoond to Focus Areas 2-4 from April 3, 2020 to May 29, 2020. FAQs have been updated. See two attachments.
Amendment 05 to Addendum to BAA-OAA-E3-ENERGY-2020 New Approaches to Promoting Energy Sector Sustainability, has been posted as an attachment to the original announcement on May 26, 2020. FAQs have been updated.
</t>
  </si>
  <si>
    <t>NIST MEP Disaster Assessment Program</t>
  </si>
  <si>
    <t>Others (see text field entitled "Additional Information on Eligibility" for clarification) Eligible applicants for this funding opportunity are recipients of current MEP Center cooperative agreements. A MEP Center recipient may work individually or may include proposed subawards to other recipients of MEP Center cooperative agreements and/or proposed contracts with other organizations as part of the applicant s proposal, effectively forming a team or consortium.  A MEP Center may only submit one funding application for each FEMA Disaster Declaration and, where an application is submitted with respect to a particular FEMA Disaster Declaration, such MEP Center may not be included as a subawardee or as a project participant in any other applications pertaining to the same FEMA Disaster Declaration. Moreover, a MEP Center that does not submit a funding application for a particular FEMA Disaster Declaration may only be included as a subawardee or as a project participant in one funding application for each FEMA Disaster Declaration.</t>
  </si>
  <si>
    <t>NIST invites applications from current recipients of Manufacturing Extension Partnership Center cooperative agreements (MEP Centers) to perform assessments of small- and medium-sized manufacturers (SMMs) in areas subject to a FEMA Disaster Declaration. These assessments should be designed to identify the impact, if any, to the operations of the SMMs as result of the subject disaster. MEP Centers receiving funding pursuant to this program must also assist impacted SMMs in identifying and accessing Federal, State and local resources to aid in business recovery efforts and, as appropriate, in the development of a risk mitigation plan for future disasters. Award recipients will further be required to share the results of their project, including disaster preparedness lessons learned and SMMs best practices, with other SMMs, NIST and the MEP National NetworkTM in order to help the SMM community with future disaster resilience planning efforts. See Section I. in the Full Announcement Text of this NOFO.</t>
  </si>
  <si>
    <t>Linguistics Program - Doctoral Dissertation Research Improvement Grants</t>
  </si>
  <si>
    <t>Others (see text field entitled "Additional Information on Eligibility" for clarification) *Who May Submit Proposals: Proposals may only be submitted by the following:
  -Institutions of Higher Education (IHEs) - Two- and four-year IHEs (including community colleges) accredited in, and having a campus located in the US, acting
     on behalf of their faculty members.Special Instructions for International Branch Campuses of US IHEs: If the proposal includes funding to be provided to an
     international branch campus of a US institution of higher education (including through use of subawards and consultant arrangements), the proposer must explain
     the benefit(s) to the project of performance at the international branch campus, and justify why the project activities cannot be performed at the US campus.
*Who May Serve as PI:
DDRI proposals must be submitted with a principal investigator (PI) and a co-principal investigator (co-PI). The PI must be the advisor of the doctoral student or another faculty member at the USIHE where the doctoral student is enrolled. The doctoral student must be a co-PI.</t>
  </si>
  <si>
    <t>The Linguistics Program supports basic science in the domain of human language, encompassing investigations of the grammatical properties of individual human languages, and of natural language in general. Research areas include syntax, linguistic semantics and pragmatics, morphology, phonetics, and phonology.
The program encourages projects that are interdisciplinary in methodological or theoretical perspective, and that address questions that cross disciplinary boundaries, such as (but not limited to):
What are the psychological processes involved in the production, perception, and comprehension of language?
What are the computational properties of language and/or the language processor that make fluent production, incremental comprehension or rapid learning possible?
How do the acoustic and physiological properties of speech inform our theories of language and/or language processing?
What role does human neurobiology play in shaping the various components of our linguistic capacities?
How does language develop in children?
What social and cultural factors underlie language variation and change?
The Linguistics Program does not make awards to support clinical research projects, nor does it support work to develop or assess pedagogical methods or tools for language instruction.
DDRI proposals to document the linguistic properties of endangered languages should be submitted to the Dynamic Language Infrastructure (DLI-DDRI) Program: https://www.nsf.gov/pubs/2019/nsf19607/nsf19607.htm.</t>
  </si>
  <si>
    <t>Advancing Higher Education for Afghanistan s Development</t>
  </si>
  <si>
    <t xml:space="preserve">
The United States Agency for International Development (USAID) is issuing this Annual Program Statement (APS) pursuant to the Foreign Assistance Act (FAA) of 1961, as amended. The Agency will administer any resulting awards in accordance with ADS 303, Parts 200 and 700 of Title 2 of the Code of Federal Regulations (CFR), Uniform Administrative Requirements, Cost Principles, and Audit Requirements for Federal Awards; Standard Provisions for US/Non-US Organizations; as well as the additional requirements in this APS and any Rounds. The USAID Mission in Afghanistan (USAID/Afghanistan) is pleased to announce this Advancing Higher Education for Afghanistanâ€™s Development (AHEAD) APS.
Through this APS, USAID/Afghanistan announces its desire, through addendum posted to the APS, to fund one or multiple awards to test, adopt, and scale creative or innovative solutions to meet development challenges in the area of higher education.
The AHEAD APS is not a Request for Applications (RFA). The APS requests Concept Notes in response to addendum published to this APS. Based on the review of those concept notes led by a USAID team and potential participation in a co-creation process, USAID will determine whether to request a full application from an appropriate partner(s). USAID reserves the right to fund any or none of the concept notes and applications submitted under this APS and its respective addendum. USAID also reserves the right to not conduct a co-creation phase and request full applications from successful Applicants at the Concept Paper stage.
Amendment #01 added on Dec. 22, 2019
The purposes of this Amendment #01 are:
1) to correct the typo on the Closing Date on the cover page of the APS; 
2) to revise Eligibility section of the APS and Addendum 01; and
3) to provide USAID responses to all questions received from prospective applicants. 
</t>
  </si>
  <si>
    <t>NSF Directorate for Engineering - UKRI Engineering and Physical Sciences Research Council Lead Agency Opportunity</t>
  </si>
  <si>
    <t>Others (see text field entitled "Additional Information on Eligibility" for clarification) *Who May Serve as PI:
 br / Each proposal must include at least one US-eligible collaborator as lead PI and at least 1 UK-eligible collaborator as senior personnel.</t>
  </si>
  <si>
    <t>The Directorate for Engineering (ENG), Division of Chemical, Bioengineering, Environmental, and Transport Systems (CBET), the Division of Civil, Mechanical and Manufacturing Innovation (CMMI), and the Division of Electrical, Communications and Cyber Systems (ECCS) of the National Science Foundation and the Engineering, ICT and Manufacturing the Future Themes of the UK Engineering and Physical Sciences Research Council (EPSRC) are pleased to announce the ENG-EPSRC Lead Agency Opportunity. The goal of thisopportunity is to reduce some of the barriers that researchers currently encounter when working internationally. The ENG-EPSRC Lead AgencyOpportunity will allow US and UK researchers to submit a single collaborative proposal that will undergo a single review process.
_x000D_
Proposals will be accepted for collaborative research in areas at the intersection of CBET, CMMI, and/or ECCS with the EPSRC Engineering, ICT and/or Manufacturing the Future Themes. Proposers choose either NSF or EPSRC to serve as the   agency to review their proposal. The non-lead agency will honor the rigorof the review process and the decision of the lead agency. For research teams that would like EPSRC to act as lead agency, please see the instructions at:https://epsrc.ukri.org/about/partner/international/agreements/nsf.
_x000D_
Proposers should review the CBET, CMMI, and ECCS Program Descriptions for research supported through these divisions and the EPSRC website for further information on what areas of research are eligible for support through this activity. Proposals are expected to adhere to typical proposal budgets and durations for the relevantNSF programs and EPSRC Themes from which funding is sought.</t>
  </si>
  <si>
    <t>Science of Science: Discovery, Communication and Impact</t>
  </si>
  <si>
    <t>The Science of Science:Discovery, Communication and Impact (SoS:DCI) program is designed to advance theory and knowledge about increasing the public value of scientific activity. Science of Science draws from multiple disciplinary and field perspectives to advance theory and research about scientific discovery, communication and impact. SoS:DCI welcomes proposals applying rigorous empirical research methods to advance theory and knowledge on:
The social and structural mechanisms of scientific discovery.
Theories, frameworks, models and data that improve our understanding of scientific communication and outcomes.
The societal benefits of scientific activity and how science advances evidence-based policy making and the creation of public value.
The SoS:DCI program, which expands upon the formerScience of Science and Innovation Policy (SciSIP)program, funds research that builds theoretical and empirical understanding of the social science of science. SoS:DCI welcomes proposals to conduct research at the individual, organizational and institutional levels or from micro, meso and macro scales and complex system levels. SoS:DCI encourages multiple disciplinary perspectives, interdisciplinary research and diverse methodological approaches in the pursuit of new knowledge to advance the science of science and evidence-based policy making. With these goals in mind, proposals should:
Draw from and advance theory, knowledge and frameworks on the science of science.
Develop models, data, indicators and associated analytical tools that constitute and enable transformative advances rather than incremental change.
Provide credible rigorous assessments of the proposed project s impact and social and policy implications.
Include robust data management plans with the goal of advancing open science and increasing public access to usable, valid and reliable scientific materials.
Of particular interest are proposals with the potential to strengthen America s global leadership in science and increase national competitiveness across a broad range of domains. These include proposals that analyze strategies for strengthening and diversifying the scientific workforce, as well as ways to cultivate high-impact discovery across sectors.The program strongly encourages convergent research and collaboration.
In addition to intellectual merit, the program strongly encourages potential PIs to carefully consider the broader impacts of their work. The broader impacts criterion encompasses the potential to benefit society and contribute to the achievement of specific, desired policy outcomes.The Social, Behavioral and Economic Sciences Directorate has released additional guidance on broader impacts for SBE proposals.
The SoS:DCI program places a high priority on broadening participation in the sciences. It encourages participation from junior faculty, women and members of historically underrepresented groups, as well as proposals from Minority Serving Institutions (MSIs), Research Undergraduate Institutions (RUIs) and institutions in EPSCoR states. The program also encourages diverse and inclusive research teams.
SoS:DCI supports the following types of proposals:
Standard Research Grants and Grants for Collaborative Research
A Science of Science Approach to Analyzing and Innovating the Biomedical Research Enterprise (SoS:BIO)
Conference Grants
SoS:DCI also participates in certain specialized funding opportunities through NSF s cross-cutting and cross-directorate activities.</t>
  </si>
  <si>
    <t>Science of Learning and Augmented Intelligence (SL)</t>
  </si>
  <si>
    <t xml:space="preserve">Science of Learning and Augmented Intelligence (SL) supports potentially transformative research that develops basic theoretical insights and fundamental knowledge about principles, processes and mechanisms of learning, and about augmented intelligence   how human cognitive function can be augmented through interactions with others or with technology, or through variations in context.
The program supportsresearch addressing learning in individuals and in groups, across a wide range of domains at one or more levels of analysis, including molecular and cellular mechanisms; brain systems; cognitive, affective and behavioral processes; and social and cultural influences.
The program also supports research on augmented intelligence that clearly articulates principled ways in which human approaches to learning and related processes, such as in design, complex decision-making and problem-solving, can be improved through interactions with others or through the use of artificial intelligence in technology. These could include ways of using knowledge about human functioning to improve the design of collaborative technologies that have the capacity to learn to adapt to humans.
For both aspects of the program, there is special interest in collaborative and collective models of learning and intelligence that are supported by the unprecedented speed and scale of technological connectivity.This includes emphasis on how people and technology working together in new ways and at scale can achieve more than either can attain alone. The program also seeks explanations for how the emergent intelligence of groups, organizations and networks intersects with processes of learning, behavior and cognition in individuals. 
Projects that are convergent or interdisciplinary may be especially valuable in advancing basic understanding of these areas, but research within a single discipline or methodology is also appropriate.Connections between proposed research and specific technological, educational and workforce applications will be considered as valuable broader impacts but are not necessarily central to the intellectual merit of proposed research. The program supports a variety of approaches, including experiments, field studies, surveys, computational modeling, and artificial intelligence or machine learning methods.
Examples of general research questions within scope of Science of Learning and Augmented Intelligence (SL)include:
What are the underlying mechanisms that support transfer of learning from one context to another or from one domain to another?How is learning generalized from a small set of specific experiences?What is the basis for robust learning that is resilient against potential interference from new experiences?How is learning consolidated and reconsolidated from transient experience to stable memory?
How do human interactions with technologies, imbued with artificial intelligence, provide improved human task performance?What models best describe the interplay of the individual and collaborative processes that lead to co-creation of knowledge and collective intelligence? In what ways do the capacities and constraints of human cognition inform improved methods of human-artificial intelligence collaboration?
How can we integrate research findings and insights across levels of analysis, relating understanding of cellular and molecular mechanisms of learning in the neurons, to circuit and systems-level computations of learning in the brain, to cognitive, affective, social and behavioral processes of learning? What is the relationship between assembly of new networks (development) and learning new knowledge in a maturing or mature brain? What concepts, tools (including Big Data, machine learning, and other computational models) or questions will provide the most productive linkages across levels of analysis?
How can insights from biological learners contribute and derive new theoretical perspectives to artificial intelligence, neuromorphic engineering, materials science and nanotechnology? How can the ability of biological systems to learn from relatively few examples improve efficiency of artificial systems?How do learning systems (biological and artificial) address complex issues of causal reasoning?How can knowledge about the ways in which humans learn help in the design of human-machine interfaces?
</t>
  </si>
  <si>
    <t>Biosensing</t>
  </si>
  <si>
    <t>The Biosensing program is part of the Engineering Biology and Health cluster, which also includes 1) the Biophotonics program; 2) the Cellular and Biochemical Engineering program; 3) the Disability and Rehabilitation Engineering program; and 4) the Engineering of Biomedical Systems program.
_x000D_
The Biosensing program supports fundamental engineering research in the monitoring, identification and/or quantification of biological analytes and phenomena using innovations that exist at the intersection of engineering, life sciences, and information technology. Projects submitted to the program must advance both engineering and life sciences.
_x000D_
The Biosensing program encourages proposals that, in addition to advancing biosensing technology, address critical sensor needs in biomedical research, public health, food safety, agriculture, forensics, environmental protection, and homeland security.
_x000D_
Proposals are especially encouraged in areas of critical need: sensing technologies that can enable monitoring and surveillance of the environment and/or individuals for novel infectious agents; platform technologies that can readily be modified as soon as new agents are detected, sequenced, and/or otherwise characterized to enable rapid deployment of sensors in clinics and the environment; and adaptive and/or multiplex sensing technologies that can help the nation prevent the spread of the next global pandemic.
_x000D_
Major areas of interest for the program include:
_x000D_
_x000D_
Novel signal transduction principles and mechanisms that enable sensitive and specific biosensors, suitable for measurements in multiple areas;_x000D_
Design of novel biorecognition elements and appropriately designed transducing systems to enable adaptable and/or reconfigurable operating parameters in response to environmental changes or application needs at levels of device, system, or data analysis;_x000D_
Development of adaptive and/or evolvable biosensing systems for detection of novel target analytes or analytes under novel conditions;_x000D_
Novel synthetic biology approaches for the development of cell-free and cell-based biosensors; and_x000D_
Combining biosensors with artificial intelligence (AI) methods to improve sensor specificity and response time._x000D_
_x000D_
Innovative ideas outside of the above specific interest areas may be considered. However, prior to submission, it is recommended that the PI contact the program director to avoid the possibility of the proposal being returned without review.
_x000D_
The Biosensors program does not encourage proposals addressing circuit design for signal processing and amplification, computational modeling, and microfluidics for sample separation and filtration. Medical imaging-based measurements are outside of the scope of the program interests. Proposals that rely heavily on descriptive approaches are given lower priority. Proposals for optimizing and/or utilizing established methods for specific applications should be directed to programs focused on the application of sensor technology.
_x000D_
NOTE: Projects related to water and/or soil quality may be jointly supported with the Environmental Engineering program (CBET 1440). Photonic devices with medical imaging and/or optogenetics should be submitted to the Biophotonics program (CBET 7236). Applications of devices for tissue engineering or organ-on-chip systems should be submitted to the Engineering of Biomedical Systems program (CBET 5345). Basic chemical/biochemical sensing mechanisms should be submitted to the Chemical Measurement and Imaging program (CMI 6880) in the Division of Chemistry. Proposals for dynamic biosensing systems, including circuit design for signal/data processing and amplification, and sensing systems through communication and machine learning should be submitted to the Communications, Circuits, and Sensing-Systems program (CCSS 7564) in the Division of Electrical, Communications, and Cyber Systems.
_x000D_
INFORMATION COMMON TO MOST CBET PROGRAMS
_x000D_
Proposals should address the novelty and/orpotentially transformative natureof the proposed work compared to previous work in the field.Also, it is important to address why the proposed work is important in terms of engineering science, as well as to also project the potential impact on society and/or industry of success in the research.The novelty or potentially transformative nature of the research should be included, as a minimum, in the Project Summary of each proposal.
_x000D_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_x000D_
Faculty Early Career Development(CAREER)program proposals are strongly encouraged.Award duration is five years.The submission deadline for Engineering CAREER proposals is in July every year. Learn more in the CAREER program description.
_x000D_
Proposals for Conferences, Workshops, and Supplements: PIs are strongly encouraged to discuss their requests with the program director before submission of the proposal.
_x000D_
Grants forRapid Response Research(RAPID)andEArly-concept Grants for Exploratory Research(EAGER)are also considered when appropriate. Please note that proposals of these types must be discussed with the program director before submission. Grant Opportunities for Academic Liaison with Industry (GOALI)proposals that integrate fundamental research with translational results and are consistent with the application areas of interest to each program are also encouraged. Please note that RAPID, EAGER, and GOALI proposals can be submitted anytime during the year. Details about RAPID, EAGER, and GOALI are available in the Proposal   Award Policies   Procedures Guide(PAPPG), Part 1, Chapter II, Section E: Types of Proposals.
_x000D_
Compliance: Proposals that are not compliant with theProposal   Award Policies   Procedures Guide (PAPPG)will be returned without review.</t>
  </si>
  <si>
    <t>Environmental Engineering</t>
  </si>
  <si>
    <t>The Environmental Engineering program is part of the Environmental Engineering and Sustainability cluster, which also includes 1) the Nanoscale Interactions program; and 2) the Environmental Sustainability program.
Environmental engineering is an interdisciplinary field that applies chemical, biological, and physical scientific principles to protect human and ecological health.
The goal of the Environmental Engineering program is tosupport potentially transformative fundamental research that applies scientific and engineering principles to 1) prevent, minimize, or re-use solid, liquid, and gaseous discharges of pollution to soil, water, and air by closing resource loops or through other measures; 2) mitigate the ecological and human-health impacts of such releases by smart/adaptive/reactive amendments or manipulation of the environment, and 3) remediate polluted environments through engineered chemical, biological, and/or geo-physical processes.
Integral to achieving these goals is a fundamental understanding of the transport and biogeochemical reactivity of pollutants in the environment. Therefore, research on environmental micro/biology, environmental chemistry, and environmental geophysics may be relevant providing the research has a clear objective of protecting human and ecological health.
Major areas of interest include (but are not limited to): 
Building afuture without pollution or waste: Investigation of innovative biogeochemical processes that prevent or minimize the production of waste; waste valorization and other research that will lead to new technologies toextract resources from waste streams to close the resource loop.
Sustainable supply and protection ofwater: Investigation of innovative biogeochemical processesthat remove, biologically or chemically transform, and/or prevent therelease of contaminants in surface and groundwater; innovative processesfor recovery of water, nutrients, and other resources from wastewater,saline water, or brines; innovative approaches to smart and adaptive management of surface water, groundwater, and urban watersheds and storm water to maintain/improve quality and prevent downstream impacts from nutrients and other water constituents.
Environmentalchemistry, fate, and transport of nutrients and contaminants of emergingconcern in air, water, soils, and sediments:Investigation of transport and biogeochemical reactivity in theenvironment; environmental forensics to identify sources and reaction pathways; field- and laboratory scale experimental research that bridgesgaps between data and predictions from molecular, continuum, and field-scale modeling.
Environmentalengineering of the built environment: Research to understand the biogeochemical reactivity of the builtenvironment with the goal of enhancing and improving human and ecological health; research that will lead to new technologies to improve outdoor and indoor air quality; research to understand how drinking water and wastewater chemical characteristics and microbial community structure impact or are affected by water quality and human health.
NOTE: Proposals with a scientific focus on chemical or physical separation processes (for example, materials or processes for reverse osmosis, membrane distillation, and hypo-filtration) should be submitted to the Interfacial Engineering program (CBET 1417). Proposals that seek to advance fundamental and quantitative understanding of the behaviors of nanomaterials and nanosystems should be submitted to the Nanoscale Interactions program (CBET 1179). Proposals focused on in vitro molecular-level environmental chemistry research should be submitted to Environmental Chemical Sciences program (CHE-ECS 6882). Proposals focusing on industrial ecology, green engineering, and ecological/earth systems engineering should be submitted to the Environmental Sustainability program (CBET 7643). Proposals whose main research focus is on materials development, sensors, or environmental monitoring that do not seek to understand biogeochemical reactivity mechanisms or treatment efficiency are not encouraged and may be returned without review.
Innovative proposals outside of these specific interest areas may be considered. However, prior to submission, it is recommended that the PI contact the program director to avoid the possibility of the proposal being returned without review.
INFORMATION COMMON TO MOST CBET PROGRAMS
Proposals should address the novelty and/orpotentially transformative natureof the proposed work compared to previous work in the field. Also, it is important to address why the proposed work is important in terms of engineering science, as well as to also project the potential impact on society and/or industry of success in the research. The novelty or potentially transformative nature of the research should be included, as a minimum, in the Project Summary of each proposal.
The duration of unsolicited proposal awards in CBET is generally up to three years. Single-investigator award budgets typically include support for one graduate student (or equivalent) and up to one month of PI time per year(awards for multiple investigator projects are typically larger). Proposal budgets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
Faculty Early Career Development(CAREER)program proposals are strongly encouraged. Award duration is five years. The submission deadline for Engineering CAREER proposals is in July every year. Learn more in the CAREER program description.
Proposals for Conferences, Workshops, and Supplements: PIs are strongly encouraged to discuss their requests with the program director before submission of the proposal.
Grants forRapid Response Research(RAPID)andEArly-concept Grants for Exploratory Research(EAGER)are also considered when appropriate.Please note that proposals of these types must be discussed with the program director before submission.Grant Opportunities for Academic Liaison with Industry (GOALI)proposals that integrate fundamental research with translational results and are consistent with the application areas of interest to each program are also encouraged.Please note that RAPID, EAGER, and GOALI proposals can be submitted anytime during the year. Details about RAPID, EAGER, and GOALI are available in the Proposal   Award Policies   Procedures Guide(PAPPG), Part 1, Chapter II, Section E: Types of Proposals.
Compliance: Proposals that are not compliant with theProposal   Award Policies   Procedures Guide (PAPPG)will be returned without review.</t>
  </si>
  <si>
    <t>Accountable Institutions and Behavior</t>
  </si>
  <si>
    <t>The Accountable Institutions and Behavior (AIB) Program supports basicscientific research that advances knowledge and understanding of issues broadly related to attitudes, behavior, and institutions connected to public policy and the provision of public services.Research proposals are expected to be theoretically motivated, conceptually precise, methodologically rigorous, and empirically oriented. Substantive areas include (but are not limited to) the study of individual and group decision-making, political institutions (appointed or elected), attitude and preference formation and expression, electoral processes and voting, public administration, and public policy. This work can focus on a single case or can be done in a comparative context, either over time or cross-sectionally.The Program does not fund applied research.The Program also supports research experiences for undergraduate students and infrastructural activities, including methodological innovations.In addition, we encourage you to examine the websites for the National Science Foundation s Law and Science(LS) and Security and Preparedness (SAP) programs.</t>
  </si>
  <si>
    <t>Security and Preparedness</t>
  </si>
  <si>
    <t xml:space="preserve">The Security and Preparedness (SAP) Programsupports basic scientific research that advances knowledge and understanding of issues broadly related to global and national security. Research proposals are evaluated on the criteria of intellectual merit and broader impacts; the proposed projects are expected to be theoretically motivated, conceptually precise, methodologically rigorous, and empirically oriented. Substantive areas include (but are not limited to) international relations, global and national security, human security,political violence, state stability, conflict processes, regime transition, international and comparative political economy, and peace science. Moreover, the Program supports research experiences for undergraduate students and infrastructural activities, including methodological innovations. The Program does not fund applied research. In addition, we encourage you to examine the websites for the National Science Foundation'sAccountable Institutions and Behavior(AIB) and Law and Science (LS) programs.
</t>
  </si>
  <si>
    <t>National Space Grant College and Fellowship Program - Opportunities in NASA STEM FY 2020   2024</t>
  </si>
  <si>
    <t>Others (see text field entitled "Additional Information on Eligibility" for clarification) Space Grant Lead Institutions as defined here: https://www.nasa.gov/offices/education/programs/national/spacegrant/home/Space_Grant_Consortium_Websites.html</t>
  </si>
  <si>
    <t xml:space="preserve"> 
This Cooperative Agreement Notice is a multi-year award thataims to contribute to NASAâ€™s mission, Office of STEM Education priorities,Co-STEM goals, Mission Directorate collaborations, and state based needs.  The multi-year award will be available to allSpace Grant Consortia who will work with the Office of STEM Engagement tofulfill these objectives.  Through thecombined efforts of the Space Grant Consortia, this program will 1) enablecontributions to NASAâ€™s work, 2) build a diverse, skilled future workforce, and3) strengthen understanding of STEM through powerful connections to NASA.  The program will focus on providingopportunities for students to engage with NASAâ€™s aeronautics, space, andscience people, content, and facilities in support of a diverse future NASA andaerospace industry workforce, as well as, providingopportunities for students to contribute to NASAâ€™s aeronautics, space, andscience missions and work in exploration and discovery through MissionDirectorate collaborations.    
Everyinstitution that intends to submit a proposal to this NRA, including theproposed prime award or any partner whether an education institution, and otherorganizations that will serve as sub-awardees or contractors, must be registered in NSPIRES. Electronicsubmission of proposals is required by the due date and must be submitted byan authorized official of the proposing organization. Such registrationmust identify the authorized organizational representative(s) who will submitthe electronic proposal. All principal investigators and other participants(e.g. co-investigators) must be registered in NSPIRES regardless of submissionsystem. Potential proposers and proposing organizations are urged to accessthe system(s) well in advance of the proposal due date(s) of interest tofamiliarize themselves with its structure and enter the requested information.Electronic proposals may be submitted via the NASA proposal data systemNSPIRES. Additional programmatic information for this NRAmay develop before the proposal due date. If so, such information will be addedas a Frequently Asked Question (FAQ) or formal amendment to this NRA and postedon http://nspires.nasaprs.com. It is the proposerâ€™s responsibility to regularly check NSPIRESfor updates to this NRA.   
 P oint of Contact 
Name:   Erica J. Alston 
Title:   Deputy Space GrantProgram Manager  
Phone:   757-864-7247  
E-mail:   SGCFP@nasaprs.com  
</t>
  </si>
  <si>
    <t>Initiative for Human Rights</t>
  </si>
  <si>
    <t>Others (see text field entitled "Additional Information on Eligibility" for clarification) U.S. and non-U.S. nongovernmental organizations (other than those from foreign policy restricted countries), including but not limited to foundations, academic and research organizations, faith-based organizations, for-profit private enterprises, and consortia. Individuals are not eligible to participate.</t>
  </si>
  <si>
    <t xml:space="preserve">Addendum #2 Initiative for Human Rights Amendment 1 
Issuance Date: May 9, 2019 
Closing Date for Concept Papers: May 29, 2019, 9:00 AM Manila time 
The  purpose of this Amendment is to provide responses to questions received for above Addendum #2. 
In addition to this Amendment, Applicants must read the APS Initiatives for Democracy Amendment #1 (file name: 72049219APS00001 Amendment 1.pdf), APS Initiatives for Democracy Amendment #1 Attachment 1 (Responses to Questions) (file name: Attachment 1 - Response to Questions.pdf) and all future amendments. These files can be found under the "Related Documents" tab of this funding opportunity. 
</t>
  </si>
  <si>
    <t>Active Communities - Effective States (ACES)</t>
  </si>
  <si>
    <t>Others (see text field entitled "Additional Information on Eligibility" for clarification) Please see Section III of the ACES APS and Rounds published to this APS for eligibility information regarding organizations.</t>
  </si>
  <si>
    <t>Pursuant to the Foreign Assistance Act of 1961, as amended, the U.S. Agency for International Development (USAID), Bureau for Democracy, Conflict, and Humanitarian Assistance (DCHA), Center for Democracy, Rights and Governance (DRG) announces the Active Communities - Effective States Annual Program Statement (known hereafter as ACES APS). The Agency will administer any resulting awards in accordance with Parts 200 and 700 of Title 2 of the Code of Federal Regulations (CFR), Uniform Administrative Requirements, Cost Principles, and Audit Requirements for Federal Awards; Standard Provisions for US/Non-US Organizations; as well as the additional requirements in this APS and any Rounds.
Through the ACES APS, USAID announces its desire to engage in a diverse range of partnerships, including with new and underutilized development actors (namely local and locally established organizations) to expand and amplify the Agencyâ€™s work in fostering the rule of law and greater accountability of public institutions to citizens and enhance citizen participation and access to services across sectors through activities that advance the USAID objective of supporting partner countriesâ€™ Journey to Self-Reliance.
The ACES APS is not a Request for Applications (RFA) or a Request for Proposals (RFP). Rather, the ACES APS requests Concept Papers in response to Rounds published to this APS. Based on the review of those Concept Papers by a USAID team, USAID will determine whether to request a full Application from the successful applicant(s). To be competitive in a particular Round, applications must be fully responsive to all submission instructions under this APS as well as any additional instructions and review criteria detailed in the Round.
USAID reserves the right to fund any or none of the concept papers and applications submitted under this APS and its respective Rounds. USAID also reserves the right to not conduct a co-creation phase and request full applications from successful Applicants at the Concept Paper stage.
USAID is available to respond to questions from applicants about the process. For questions on specific Rounds, applicants must submit questions by email to the point of contact (POC) identified in the specific Round through which they are considering submitting a Concept Paper. As Rounds are issued, notifications will be posted on www.grants.gov.
NOTE: Addendum documents can be found under the "Related Documents" tab.
APS: The ACES APS Amendment #1 document has been uploaded under the "Related Documents" tab.
APS: The ACES APS Amendment #1 Q A document has been uploaded under the "Related Documents" tab.
APS: The ACES APS Amendment #2 document has been uploaded under the "Related Documents" tab.
APS: The ACES APS Amendment #3 document has been uploaded under the "Related Documents" tab.
APS: The ACES APS Amendment #4 document has been uploaded under the "Related Documents" tab.
APS: The ACES APS Amendment #5 document has been uploaded under the "Related Documents" tab.
Addendum #1: The ACES APS Addendum #1 document has been uploaded under the "Related Documents" tab.
Addendum #1: The ACES APS Addendum #1 Q A document has been uploaded under the "Related Documents" tab.
Addendum #2: The ACES APS Addendum #2 document has been uploaded under the "Related Documents" tab.
Addendum #2: The ACES APS Addendum #2 Q A document has been uploaded under the "Related Documents" tab.
Addendum #3: The ACES APS Addendum #3 document has been uploaded under the "Related Documents" tab.
Addendum #3: The ACES APS Addendum #3 Q A document has been uploaded under the "Related Documents" tab.</t>
  </si>
  <si>
    <t>Methodology, Measurement, and Statistics</t>
  </si>
  <si>
    <t>Others (see text field entitled "Additional Information on Eligibility" for clarification) *Who May Serve as PI:
Doctoral Dissertation Research Improvement Awards: DDRI proposals must be submitted with a principal investigator (PI) and a co-principal investigator (co-PI). The PI must be the advisor of the doctoral student or another faculty member at the U.S. institution where the doctoral student is enrolled. The co-PI must be the doctoral student whose dissertation research will be supported.
For all other types of awards, there are no restrictions or limits.</t>
  </si>
  <si>
    <t>The Methodology, Measurement, and Statistics (MMS) Program is an interdisciplinary program in the Directorate for Social, Behavioral, and Economic Sciences that supports the development of innovative analytical and statistical methods and models for those sciences. MMS seeks proposals that are methodologically innovative, grounded in theory, and have potential utility for multiple fields within the social, behavioral, and economicsciences. As part of its larger portfolio, the MMS Program partners with a consortium of federal statistical agencies to support research proposals that further the production and use of official statistics.
The MMS Program provides support through a number of different funding mechanisms. The following mechanisms are addressed in this solicitation:
Regular Research Awards
Awards for conferences and community-development activities
Doctoral Dissertation Research Improvement (DDRI) Grants
Research Experience for Undergraduates (REU) Supplements
MMS also supports Faculty Early Career Development (CAREER) awards. Please see the CAREER Program Web Site for more informationabout this activity.</t>
  </si>
  <si>
    <t>High-Risk Research in Biological Anthropology and Archaeology</t>
  </si>
  <si>
    <t>Anthropological research may be conducted under unusual circumstances, often in distant locations. As a result the ability to conduct potentially important research may hinge on factors that are impossible to assess from a distance and some projects with potentially great payoffs may face difficulties in securing funding. This program gives small awards that provide investigators with the opportunity to assess the feasibility of an anthropological research project. It is required that the proposed activity be clearly high risk in nature. The information gathered may then be used as the basis for preparing a more fully developed research program. 
_x000D_
Investigators must contact the cognizant NSF Program Director before submitting an HRRBAA proposal. This will facilitate determining whether the proposed work is appropriate for HRRBAA support.</t>
  </si>
  <si>
    <t>Supporting Emergency Agriculture Design and Standards (SEADS)</t>
  </si>
  <si>
    <t>Unrestricted (i.e., open to any type of entity above), subject to any clarification in text field entitled "Additional Information on Eligibility" See APS Section C for applicant eligibility details.</t>
  </si>
  <si>
    <t xml:space="preserve">&lt;div style="mso-element:para-border-div;border:none black 1.0pt;mso-border-alt:_x000D_
none black 0in;padding:0in 0in 0in 0in;margin-left:0in;margin-right:-12.6pt;"&gt; 
 &lt;p style="margin-bottom:0in;margin-bottom:.0001pt;line-height:_x000D_
normal;border:none;mso-border-alt:none black 0in;padding:0in;mso-padding-alt:_x000D_
0in 0in 0in 0in;mso-border-between:0in none black;mso-padding-between:0in"&gt;Under this APS, the United States Agency for International Development (USAID) Office of U.S. Foreign Disaster Assistance (OFDA) will consider applications for the development and dissemination of Supporting Emergency Agriculture Design and Standards (SEADS). Applicant Eligibility Information for this award is described in Section C of this Notice of Funding Opportunity (NFO). Subject to the availability of funds, USAID intends to award a single Cooperative Agreement to a responsible applicant whose application best meets the objectives of this funding opportunity and the selection criteria contained herein. USAID reserves the right to fund one or more or none of the applications submitted.   
</t>
  </si>
  <si>
    <t>Resilient Governance in Niger (RGN)</t>
  </si>
  <si>
    <t>USAID-SEN</t>
  </si>
  <si>
    <t>Senegal USAID-Dakar</t>
  </si>
  <si>
    <t>This USAID/Sahel Regional Office (SRO) RFI is issued for the purpose of providing  stakeholders an opportunity to review, comment, suggest, and enhance areas in the attached draft design document  for a new USAID/Sahel Regional Office activity: the Resilient Governance in Niger activity (RGN). RGN is expected to be an $18,000,000, three-year activity, with two option years for a total of five years, subject to the availability of funds. RGN will serve leading governance activity in Niger under the USAIDâ€™s Resilience in the Sahel II Project (RISE II). RGN will address Objective 4: Enhance governance of institutions and organizations, of the RISE II results framework (attached), specifically sub-IR 4.1: Improved performance of sub-national state institutions and sub-IR 4.2: Strengthened local civil society and community based organizations. The Activity is intended to support locally-driven, politically feasible approaches to enhance:  
  Municipal government and citizen understanding of the roles and responsibilities of municipal governments and deconcentrated national authorities, and intergovernmental communications concerning local governance;  
  Planning, budgeting and administrative capacity of municipal governments to manage and mobilize financial and human resources for locally-determined service and infrastructure needs; and  
  Civic engagement in communal governance - in determining local priorities, and in holding government accountable to meet its obligations  
   USAID has revised its program cycle guidance to facilitate more adaptive, contextually-driven programming approaches, and the choice of a high-level, objective-oriented  design rather than a more prescriptive scope reflects this. The attached draft presents RGNâ€™s proposed objectives and expected outcomes. USAID/Sahel Regional Office may significantly revise this proposed new activity and planned solicitation resulting from the comments received, and from further stakeholder consultations. This RFI is issued solely for information and planning purposes and does not constitute a Request for Applications or Proposals (RFA/RFP). Responses to this RFI shall not be portrayed as proposals and will not be accepted by the U.S. Government (USG) to form a binding agreement. This RFI is not to be construed as a commitment by the USG to issue any solicitation or ultimately award of an assistance agreement or contract on the basis of this RFI, or to pay for any information submitted as a result of this request. Responders are solely responsible for all expenses associated with responding to this RFI. USAID reserves the right to modify the scope and scale of the RFI (following the pre-solicitation conference). It should be noted that responding to or providing comment on this RFI will not give any advantage to any organization in any subsequent procurement. USAID/Sahel Regional Office will not provide answers to any question submitted in response to this request.By issuing the draft for comment, USAID/Sahel Regional Office aims to consult with a broad community of public and private sector actors concerned with improving governance and service delivery in Niger. Your comments are requested to help refine the draft design document to ensure clarity, maximum development impact, coordination with existing and planned USAID and other development partner programs, and alignment with the Government of Nigerâ€™s priorities. Please provide no more than four  (4) pages of comments no later than December 24, 2018 via email to sahelregional@usaid.gov. While the limit on the length of submissions is four pages, we value concise, issue-specific comments with reference to page and section numbers in the draft design document. You may receive an electronic confirmation acknowledging receipt of your response.  USAID seeks feedback in particular on the following questions:1)  Are the Activity theory of change and expected outcomes clear and realistic? 2) Does the program description provide potential implementers with sufficient information and guidance about USAID/SROâ€™s objectives and expectations?3) RGN is intended to embody principles of flexible, adaptive management and context-driven, locally-owned approaches to systems change. What suggestions do you have for how to ensure this is well-reflected in a solicitation/notice of funding opportunity? USAID will hold a Pre-Solicitation Conference on Wednesday December 19, 2018 at the U.S. Embassy in Dakar from 14:30 to 17:00 local time (GMT). For convenience, participation through webinar will be provided.Organizations may send up to two (2) participants to the conference in-person. Additionally, others may connect remotely. To facilitate better planning, please RSVP your attendance by filling-in the registration form no later than December 12, 2018 indicating whether you will participate in-person in Dakar, or call in remotely. Link for registration form:  https://goo.gl/forms/IjVTjZu764kWwRsF3  We will send you the remote connection information once we receive the RSVP.</t>
  </si>
  <si>
    <t>Renewable Energy Systems and Energy Efficiency Improvements Program</t>
  </si>
  <si>
    <t>Native American tribal organizations (other than Federally recognized tribal governments) Agricultural Producers</t>
  </si>
  <si>
    <t>REAP Renewable Energy Systems and Energy Efficiency Improvement Program.Refer to Application Package AND Application Instruction links to obtain all necessary forms for a complete application.Contact State Energy Coordinators with questions: http://www.rd.usda.gov/files/RBS_StateEnergyCoordinators.pdf</t>
  </si>
  <si>
    <t>Strengthening Teamwork for Robust Operations in Novel Groups (STRONG)</t>
  </si>
  <si>
    <t>Others (see text field entitled "Additional Information on Eligibility" for clarification) Eligible applicants under this FOA include institutions of higher education, nonprofit organizations, and for-profit organizations (i.e., large and small businesses) for scientific research in the knowledge domains outlined throughout this Funding Opportunity.  Federally Funded Research and Development Centers (FFRDC) may propose as well, with effort as allowed by their sponsoring agency and in accordance with their sponsoring agency policy.  Proposals will be evaluated only if they are for fundamental scientific study and experimentation directed toward advancing the scientific state of the art or increasing basic knowledge and understanding.</t>
  </si>
  <si>
    <t>The recent acceleration in the emergence and widespread application of artificial intelligence and machine learning (AI/ML) is leading to a fundamental revolution in the way that society functions on all levels across the globe. Whether in wrist-worn sleep and activity monitors, online shopping carts, â€œsmartâ€ mobile devices, or even in our vehicles, AI/ML-enabled intelligent agents are quickly becoming ubiquitous and, as such, fundamental to life experience in the developed world. With ever-more intelligent technological capabilities and particularly the increasing availability, modes, and transmissibility of information that can reshape our understanding of the global context and human action within it, the U.S. Army Research Laboratory has established a new collaborative, basic research program (STRONG) with the intent of providing a foundation for enhanced teamwork within heterogeneous human-intelligent agent teams. This new collaborative venture will bring together diverse, multidisciplinary expertise to support scientific breakthroughs within specific, critical scientific questions that must be addressed to enable this future vision.</t>
  </si>
  <si>
    <t>One Health Workforce (OHW) Next Generation</t>
  </si>
  <si>
    <t>Others (see text field entitled "Additional Information on Eligibility" for clarification) Applicants will be required to apply as part of a coalition that includes faculties and schools of public health, animal health, medicine, the environment, and public administration at tertiary higher education institutions in the United States and/or overseas. The prime must be an accredited, degree-offering higher education institution or an association comprised of accredited, degree-offering higher education institutions. All types of organizations, including colleges and universities, non-governmental organizations, not for-profit organizations, for-profit organizations, small businesses, private voluntary organizations, and faith-based organizations, will be eligible to participate as sub-recipients. Minority-serving institutions of higher education are encouraged to apply. As beneficiary institutions, university members of the African and Southeast Asian One Health (OH) university networks (One Health Central and East Africa and Southeast Asia One Health University Network) will not be eligible to apply.</t>
  </si>
  <si>
    <t xml:space="preserve"> 
&lt;span style="font-size:10.0pt;_x000D_
font-family:Arial,sans-serif;color:#222222;"&gt;Invitation: Pre-Application Conference (Amendment 5)&lt;span style="font-size:10.0pt;font-family:Arial,sans-serif;_x000D_
color:#363636;"&gt;  
&lt;span style="font-size:10.0pt;_x000D_
font-family:Arial,sans-serif;color:#222222;"&gt;Purpose:  
&lt;p style="margin-left:.5in;text-indent:-.25in;line-height:13.5pt;background:_x000D_
white"&gt;&lt;span style="font-size:10.0pt;font-family:Arial,sans-serif;_x000D_
color:#222222;"&gt;1)   Upload pre-application conference presentations, questions and answers, and list of participants&lt;span style="font-size:_x000D_
9.0pt;font-family:Arial,sans-serif;color:#363636;"&gt;  
&lt;span style="font-size:10.0pt;_x000D_
font-family:Arial,sans-serif;color:#222222;"&gt;Dear International Development Community:&lt;span style="font-size:10.0pt;font-family:Arial,sans-serif;_x000D_
color:#363636;"&gt;  
&lt;span style="font-size:10.0pt;_x000D_
font-family:Arial,sans-serif;color:#222222;"&gt;The United States Agency for International Development (USAID) invited organizations working on the prevention, detection, and response of infectious disease threats to participate in the pre-application conference organized by USAIDâ€™s Emerging Threats Division held on November 29, 2018, in Washington, DC. A call-in line was also available for Washington's conference.   
&lt;span style="font-size:10.0pt;font-family:Arial,sans-serif;_x000D_
color:#222222;"&gt;This amendment provides a copy of the PowerPoint presentations presented in the conference, questions and answers, and the list of participants.&lt;span style="font-size:10.0pt;font-family:Arial,sans-serif;_x000D_
color:#363636;"&gt;  
&lt;span style="font-size:10.0pt;_x000D_
font-family:Arial,sans-serif;color:#222222;"&gt;At the meeting in Washington, D.C., USAID discussed a Request for Information (RFI) provided as Annex 1 soliciting feedback from a broad range of stakeholders, including the higher education community, on a planned activity to equip current and future workforces with the multisectoral skills and competencies required to address infectious disease threats.  
&lt;span style="font-size:10.0pt;_x000D_
font-family:Arial,sans-serif;color:#363636;"&gt;The RFI (Appendix 1) was posted for the following purposes:  
&lt;p style="margin-left:.5in;text-indent:-.25in;line-height:13.5pt;background:_x000D_
white"&gt;&lt;span style="font-size:10.0pt;font-family:Arial,sans-serif;_x000D_
color:#363636;"&gt;1) To obtain feedback on questions pertinent to the RFI (Appendix 1)  
&lt;p style="margin-left:.5in;text-indent:-.25in;line-height:13.5pt;background:_x000D_
white"&gt;&lt;span style="font-size:10.0pt;font-family:Arial,sans-serif;_x000D_
color:#363636;"&gt;2) To provide industry and stakeholders an opportunity to review, comment and provide suggestions for improvement or clarification of the DRAFT Program Description for One Health Workforce Next Generation activity (Appendix 2)  
The comments to the Program Descriptions will not be shared; however, questions and responses as result to this RFI are made public with this amendment.&lt;span style="font-size:_x000D_
10.0pt;font-family:Arial,sans-serif;color:#363636;"&gt;  
&lt;span style="font-size:10.0pt;_x000D_
font-family:Arial,sans-serif;color:#363636;"&gt;Addressing infectious disease threats requires workforces that not only have the technical skills and competencies to function within their own discipline and sector, but also possess the skills to effectively and sustainably work across sectors and disciplines. USAID has invested for nearly a decade in the development of two regional OH university networks in Africa and Southeast Asia that are committed to transforming health workforces to function more effectively and across sectors: One Health Central and East Africa (OHCEA), which is based in Kampala, Uganda, and Southeast Asian One Health University Network (SEAOHUN), which is based in Chiangmai, Thailand. These networks are comprised of 144 schools and faculties in 84 universities across 12 countries. Under OHW Next Generation, USAID plans to build on this investment by strengthening the organizational capacity of these two networks to use assessments of multisectoral workforce capacity to inform the design and adaptation of training and educational offerings, develop and deliver educational offerings in alignment with prioritized One Health core competencies and technical skills, and acquire and manage direct donor funding.  
&lt;span style="font-size:10.0pt;_x000D_
font-family:Arial,sans-serif;color:#363636;"&gt;One cooperative agreement will be awarded to a qualified higher education institution that will represent a coalition of universities and other public and private sector organizations that will work with OHCEA and SEAOHUN, as beneficiary institutions. More information on eligibility can be found under the â€œEligibilityâ€ section of this Synopsis.  
Thank you for your interest in USAIDâ€™s Emerging Threats Programming.  
THIS NOTICE IS NOT A COMMITMENT TO AWARD. &lt;span style="font-size:10.0pt;font-family:_x000D_
Arial,sans-serif;color:#363636;"&gt;  
&lt;span style="font-size:_x000D_
10.0pt;font-family:Arial,sans-serif;color:#363636;"&gt;All of the information contained in this Notice is subject to change.  
</t>
  </si>
  <si>
    <t>Crosscutting Activities in Materials Research</t>
  </si>
  <si>
    <t xml:space="preserve">Crosscutting Activities in Materials Research (XC) coordinates and supports crosscutting activities within the Division of Materials Research (DMR) and more broadly across NSF.
_x000D_
The emphasis within XC is diversity and inclusion, international cooperation, and education (including experiential learning at REU/RET Sites). Additionally, activities that broadly engage the community, such as summer schools, institutes, workshops, and conferences that do not fit within just one or two programs in the Division of Materials Research, may be supported by XC.If preparing a workshop proposal, follow the Special Guidelines for Conference Proposals outlined in the Proposal   Award Policies   Procedures Guide (PAPPG). Occasionally projects crossing several programs in DMR are shifted to XC or co-funded by XC. The goal is to bring greater visibility to these projects through DMR s XC website.
_x000D_
Proposals are welcome that do not fit elsewhere at NSF that are also highly relevant for the materials research and education community. Some XC activities are co-funded with other NSF units. XC does not handle traditional research proposals suitable for submission to topical or other programs in DMR. For this reason, the XC Team welcomes inquiries that include a draft of one-page NSF summary, or a shorter write-up. It is highly recommended that you contact one of the Program Directors for XC prior to submission of a full proposal exceeding $50,000.
_x000D_
Crosscutting Activities in Materials Research (XC) replaced the Office of Special Programs in Materials Research (OSP) in 2016.
_x000D_
Diversity:
_x000D_
_x000D_
Activitiesthat focus on broadening participation of underrepresented groups and/or diversity and inclusion are supported._x000D_
Supplements(e.g., CLB, AGEP-GRS, MPS-GRSV and ROAs) are handled by the cognizantProgram Director of the original award. See the Related Publications section below for more information._x000D_
XC supports Facilitation Awards for Scientists and Engineers with Disabilities (see Proposal   Award Policies   Procedures Guide, Chapter II.E.6 for details) https://www.nsf.gov/pubs/policydocs/pappg18_1/pappg_2.jsp#IIE6_x000D_
_x000D_
International:
_x000D_
_x000D_
In2016 a Dear Colleague Letter outlining collaborative projectswith Israel (BSF)was issued; it remains active until archived._x000D_
Submissionof full proposals with an international component may be made to thedisciplinary programs (but not to XC directly)._x000D_
Supplementsare handled by the cognizant Program Director of the original award._x000D_
Discontinuedin 2014: The previous International Materials Institutes (IMI)and Materials World Network (MWN) programs are no longer supported._x000D_
_x000D_
Education:
_x000D_
_x000D_
Innovativeand creative ideas in education (e.g., materials science and/or engineering, solid state and materials chemistry, condensed matterphysics, integrated computational materials science/engineering, ormaterials data science/analytics) that do not have a forum elsewhere at NSFare of interest._x000D_
XC encourages outreach and/or materials education proposals targeting underserved populations such as K-12students in rural communities and those designed to increase public scientific literacy._x000D_
_x000D_
Research Experiences for Undergraduates (REU)/ Research Experiences for Teachers (RET): reu.dmr@nsf.gov
_x000D_
_x000D_
XCcoordinates the REU and RET Sites activities within DMR. See theREU Site Solicitationfor deadlines and additional program information._x000D_
REU/RET supplements to research proposals are handled by the cognizant ProgramDirector of the original award._x000D_
</t>
  </si>
  <si>
    <t>Advanced Manufacturing</t>
  </si>
  <si>
    <t>The Advanced Manufacturing (AM) program supports the fundamental research needed to revitalize American manufacturing to grow the national prosperity and workforce, and to reshape our strategic industries. The AM program accelerates advances in manufacturing technologies with emphasis on multidisciplinary research that fundamentally alters and transforms manufacturing capabilities, methods and practices. Advanced manufacturing research proposals should address issues related to national prosperity and security, and advancing knowledge to sustain global leadership.
_x000D_
Areas of research, for example, include manufacturing systems; materials processing; manufacturing machines; methodologies; and manufacturing across the length scales. Researchers working in the areas of cybermanufacturing systems, manufacturing machines and equipment, materials engineering and processing, and nanomanufacturing are encouraged to transcend and cross domain boundaries. Interdisciplinary, convergent proposals are welcome that bring manufacturing to new application areas, and that incorporate challenges and approaches outside the customary manufacturing portfolio to broaden the impact of America s advanced manufacturing research.
_x000D_
Proposals of all sizes will therefore be considered as justified by the project description. Investigators are encouraged to discuss their ideas with AM program directors well in advance of submission at AdvancedManufacturing@nsf.gov.</t>
  </si>
  <si>
    <t>Operations Engineering</t>
  </si>
  <si>
    <t>The Operations Engineering (OE) program supports fundamental research on advanced analytical methods for improving operations in complex decision-driven environments. Analytical methods include, but are not limited to, deterministic and stochastic modeling, optimization, decision and risk analysis, data science, and simulation. Methodological research is highly encouraged but must be motivated by problems that have potential for high impact in engineering applications. Application domains of particular interest to the program arise in commercial enterprises (e.g., production/manufacturing systems and distribution of goods, delivery of services), the public sector/government (e.g., public safety and security), and public/private partnerships (e.g., health care, environment and energy). The program also welcomes operations research in new and emerging domains and addressing systemic societal or technological problems. The OE program particularly values cross-disciplinary proposals that leverage application-specific expertise with strong quantitative analysis in a decision-making context. Proposals for methodological research that are not strongly motivated by high-potential engineering applications are not appropriate for this program.
_x000D_
PIs are encouraged to send any program inquiries to both Program Directors.</t>
  </si>
  <si>
    <t>Engineering for Civil Infrastructure</t>
  </si>
  <si>
    <t>The Engineering for Civil Infrastructure (ECI) program supports fundamental research in geotechnical, structural, materials, architectural, and coastal engineering. The ECI program promotes research that can shape the future of the nation s physical civil infrastructure and that can contribute to climate change adaptation and mitigation, and hazards and disaster resilience. Types of civil infrastructure that the ECI program considers include, but are not limited to, buildings, residential construction, earth and earth retaining structures, and components of flood protection systems; water, waste disposal, and wastewater systems; energy infrastructure (excluding nuclear); and transportation systems (excluding pavements). Both disciplinary and convergent research that can address the challenges of physical civil infrastructure to be resilient and sustainable over its service lifetime are of particular interest. Broader impacts of ECI research include fostering community welfare for an equitable and prosperous nation and promoting environmentally friendly, circular economy policies.
_x000D_
The ECI program supports research that advances knowledge on the behavior of physical civil infrastructure subjected to and interacting with the natural environment during construction; under service and long-term conditions, including increased demands due to climate change adaptation and other emerging stressors; and under conditions caused by single or multiple extreme hazard events (extreme weather, windstorms, earthquakes, tsunamis, storm surges, landslides, and fire, including wildland-urban interface fire). The ECI program also supports research on geomaterials and infrastructure materials utilized in load-bearing systems as well as in non-structural systems. Of particular interest is experimental and analytical/computational research to advance the fundamental understanding of coupled multi-physics, multi-scale (spatial and temporal), multi-functional behavior of these materials and their intended use in civil infrastructure.
_x000D_
The ECI program supports research on civil infrastructure that contributes to the National Science Foundation s role in the National Earthquake Hazards Reduction Program (NEHRP) and the National Windstorm Impact Reduction Program (NWIRP). Principal Investigators are encouraged to leverage NSF s investments in the Natural Hazards Engineering Research Infrastructure (NHERI) experimental, computational modeling and simulation, and data resources (https://www.designsafe-ci.org/) in their research to accelerate advances needed for reducing the impacts of natural hazards on civil infrastructure. The NHERI Science Plan (https://www.designsafe-ci.org/facilities/nco/science-plan/) offers a range of research topics that could benefit from the use of NHERI resources and are relevant to the ECI program.
_x000D_
The ECI program does not support research that addresses natural resource exploration or recovery, investigates blasts and explosions, develops sensor and measurement technologies, or focuses on hazard characterization. The ECI program only supports fundamental research topics for civil infrastructure with a strong grounding in theory. Topics which fall within the mission for research and/or development of other federal and state agencies are appropriate for the ECI program only when addressing fundamental scientific questions. Research on natural hazard characterization is supported through programs in the NSF Directorate for Geosciences.
_x000D_
Proposers are actively encouraged to email a one-page project summary to the ECI Program Officers before submitting a full proposal for guidance on whether the proposed research topic falls within the scope of the ECI program; this guidance especially should be requested for multi-disciplinary research proposals, proposals for which research and/or development on the subject civil infrastructure(s) are also supported by other federal and state agencies, and proposals that consider civil infrastructure not listed above.</t>
  </si>
  <si>
    <t>Engineering Design and Systems Engineering</t>
  </si>
  <si>
    <t>The Engineering Design and Systems Engineering (EDSE) program supports fundamental research that advances design science and/or systems science through the creation of new knowledge about the design of engineered artifacts. Engineered artifacts include, but are not limited to, devices, products, processes, platforms, materials, organizations, systems, and systems of systems. The program focuses on design as a system, in which designers, the artifacts they create, the methods they use to create them, and the environment in which this occurs are all subject to rigorous scientific inquiry, along with the interactions among these elements.
_x000D_
The EDSE program strongly encourages proposals that embrace the multidisciplinary nature of design and supports well-defined collaborations of experts in design science and/or systems science with experts in other domains, including (but not limited to) the social, behavioral, computational, and natural (biological and physical) sciences. Competitive proposals will be firmly grounded in theory, will demonstrate the potential of the proposed work to improve design, and will include a plan to rigorously assess the performance and effectiveness of the proposed research methods across all domains involved.
_x000D_
In particular, the EDSE program supports fundamental contributions in areas that include but are not limited to design representation; design optimization; design validation; mechanism design; robotics and intelligent system design; design of engineered materials systems; design cognition; design collaboration; data science and artificial intelligence in design; design in under-resourced communities; immersive design; and design at extreme scales and in extreme environments. 
_x000D_
Prospective investigators are encouraged to discuss their research ideas with the Program Director in advance of proposal preparation and submission.</t>
  </si>
  <si>
    <t>Biomechanics and Mechanobiology</t>
  </si>
  <si>
    <t>The Biomechanics and Mechanobiology (BMMB) program is part of the Mechanics of Materials cluster within the Division of Civil, Mechanical, and Manufacturing Innovation.
_x000D_
The BMMB program supports fundamental and transformative research that advances our understanding of engineering biomechanics and/or mechanobiology. The program emphasizes the study of biological mechanics across multiple domains, from sub-cellular to whole organism. Distinct from conventional engineering materials, the program encourages the consideration of diverse living tissues as smart materials that are self-designing.
_x000D_
BMMB projects must have a clear biological component, a clear mechanics component, and must improve our understanding of the mechanical behavior of a living system. Investigations of the mechanical behavior of biological molecules, cells, tissues, and living systems are welcome. An important concern is the influence of in vivo mechanical forces on cell and matrix biology in the histomorphogenesis, maintenance, regeneration, repair, and aging of tissues and organs. The program is also interested in efforts to translate recent biomechanical and mechanobiological discoveries into engineering science.
_x000D_
Multiscale mechanics approaches are encouraged but not required. Projects may include theoretical, computational, or experimental approaches, or a combination thereof. NSF does not support clinical trials; however, feasibility studies involving human volunteers or animal subjects may be supported if appropriate to the scientific objectives of the project.
_x000D_
Proposals should address the novelty and/or potentially transformative nature of the proposed work compared to previous work in the field. Also, it is essential to address why the proposed work is important in terms of engineering science, and to state the potential impact of success in the research on society and/or industry.
_x000D_
Innovative proposals outside of these specific areas of biomechanics and mechanobiology will be considered. However, prior to submission of particularly unique topics, it is strongly recommended that Principal Investigators (PIs) contact the program director to discuss how the proposed work fits within the scope of the program and avoid the possibility of the proposal being returned without review.
_x000D_
Related programs also fund certain aspects of biomechanics and mechanobiology research, and PIs are encouraged to examine these to find the appropriate program for submission. Proposals with a heavy emphasis on tissue engineering or developing validated models of tissue and organ systems should consider the Engineering of Biomedical Systems (EBMS) program.Projects addressing biological questions about the physiological mechanisms and structural features of organisms should consult the Physiological Mechanisms   Biomechanics (PMB) program.Projects elucidating aspects of neural control may consider the Perception, Action,   Cognition (PAC) program or the Mind, Machine, and Motor Nexus (M3X) program if the project contains work relevant to human-machine interaction. Projects in rehabilitation engineering should consider the Disability and Rehabilitation Engineering (DARE) program. Projects focused on fundamental research related to design, characterization, and modification of biomaterials should consider the Biomaterials (BMAT) program. Manufacturing systems proposals should consider the Advanced Manufacturing (AM) program. Work on the interplay between structure, dynamics, and function of biomolecules without advancing our understanding of the mechanics of a living system should consider the Molecular Biophysics program. Researchers who believe their work may span multiple programs are particularly encouraged to contact the cognizant program directors well in advance of submission.
_x000D_
The duration of unsolicited proposal awards is generally up to three years; proposals for a shorter duration are welcome. Single-investigator award budgets typically include support for one graduate student (or equivalent trainee) and up to one month of PI time per year (awards for multiple investigator projects are typically larger). Proposal budgets or durations that are much larger than typical should be discussed with the program director prior to submission. Proposers can view budget amounts and other information from recent awards made by this program via the  What Has Been Funded (Recent Awards Made Through This Program, with Abstracts)  link towards the bottom of this page.</t>
  </si>
  <si>
    <t>Mechanics of Materials and Structures</t>
  </si>
  <si>
    <t>The Mechanics of Materials and Structures program supports fundamental research in mechanics as related to the behavior of deformable solid materials and structures under internal and external actions. The program supports a diverse spectrum of research with emphasis on transformative advances in experimental, theoretical, and computational methods. Submitted proposals should clearly emphasize the contributions to the field of mechanics.
_x000D_
Proposals related to material response are welcome, including, but not limited to, advances in fundamental understanding of deformation, fracture, and fatigue as well as contact and friction. Proposals that relate to structural response are also welcome, including, but not limited to, advances in the understanding of nonlinear deformation, instability and collapse, and wave propagation. Proposals addressing mechanics at the intersection of materials and structures, such as, but not limited to, meta-materials, hierarchical, micro-architectured and low-dimensional materials are also encouraged.
_x000D_
Proposals that explore and build upon advanced computing techniques and tools to enable major advances in mechanics are particularly welcome. For example, proposals incorporating reduced-order modeling, data-driven techniques, and/or stochastic methods with a strong emphasis on validation are encouraged. Also welcome are proposals addressing data analytics for deformation or damage response deduction from large experimental and computational data sets. Similarly, proposals that explore new experimental techniques to capture deformation and failure information for extreme ranges of loading or material behavior are also encouraged. Finally, experimental and computational methods that address information across multiple length and time scales, potentially involving multiphysics considerations are also welcome.
_x000D_
Proposals with a focus on buildings and civil infrastructure system are welcome in CMMI and should be submitted to the program on Structural and Architectural Engineering Materials (SAEM). Proposals addressing processing and mechanical performance enhancements should be submitted to the Materials Engineering and Processing (MEP) program. Investigators with proposals focused on design methodological approaches and theory enabling the accelerated development and insertion of materials should consider the Design of Engineering Material Systems (DEMS) program. Lastly, investigators with interest in developing a combined theoretical and experimental approach to accelerate materials discovery and development should direct their proposals to the Designing Materials to Revolutionize and Engineer Our Future (DMREF) opportunity.
_x000D_
Proposers are actively encouraged to email a one-page project summary to MOMS@nsf.gov before full proposal submission to determine if the research topic falls within the scope of the MOMS program.</t>
  </si>
  <si>
    <t>Civil Infrastructure Systems</t>
  </si>
  <si>
    <t>The Civil Infrastructure Systems (CIS) program supports fundamental and innovative research in the design, operation and management of civil infrastructure that contributes to creating smart, sustainable and resilient communities at local, national and international scales. This program focuses on civil infrastructure as a system in which interactions between spatially- and functionally- distributed components and intersystem connections exist. All critical civil infrastructure systems are of interest, including transportation, power, water, pipelines and others.
_x000D_
The CIS program encourages potentially disruptive ideas that will open new frontiers and significantly broaden and transform relevant research communities. The program particularly welcomes research that addresses novel system and service design, system integration, big data analytics, and socio-technological-infrastructure connections. The program values diverse theoretical, scientific, mathematical, or computational contributions from a broad set of disciplines.
_x000D_
While component-level, subject-matter knowledge may be crucial in many research efforts, the program does not support research with a primary contribution pertaining to individual infrastructure components such as materials, sensor technology, extreme event analysis, human factors, climate modeling, structural, geotechnical, hydrologic or environmental engineering.</t>
  </si>
  <si>
    <t>Humans, Disasters, and the Built Environment</t>
  </si>
  <si>
    <t>The Humans, Disasters, and the Built Environment (HDBE) program supports fundamental, convergent research on how human activities and behaviors interact with the built environment to reduce or exacerbate the effects of natural hazards and disasters. The program foci are ongoing and emerging hazards to populations (individuals, households, businesses, organizations, and agencies) and built environments (critical infrastructures, physical and cyber spaces, and buildings). Successful proposals shall address all three elements (i.e., humans, disasters, and the built environment) and have the potential to contribute to theories or insights that hold over a broad range of scales, conditions, and sectors. Research funded through this program is expected to build a deeper understanding of human behaviors at the interface of engineering and society and inform how communities manage their risk and adapt to changing patterns in climate, extreme weather, and other hazards.
_x000D_
Given the richness of the phenomena under study, the HDBE program seeks research that advances foundational theories, methods, and data within and across diverse disciplines such as engineering, social sciences, natural sciences, computing, or other relevant fields. Interdisciplinary proposals are common.
_x000D_
Proposals aimed to make methodological contributions to advance disaster-relevant research are also of interest to the program. Examples include methods and tools for the translation of engineering solutions (mitigation and adaptation) for the built environment to community or national scale investments, practices, and policies; techniques to examine the interactions of humans and the built environment resulting from simultaneous or compounding risk of natural disasters and pandemics; and protocols, methodologies, and tools tailored for handling sensitive, protected, and proprietary data relevant to disasters.
_x000D_
Investigators are encouraged to take advantage of NSF s investments in the Natural Hazards Engineering Research Infrastructure (NHERI) on experimental testing, computational modeling and simulation, interdisciplinary training and networks, and data sharing, integration, and analysis. Research that addresses multiple dimensions of social equity, vulnerability, and environmental justice is particularly encouraged.
_x000D_
Proposers are actively encouraged to email a one-page project summary to the HDBE Program Officer before submitting a full proposal for guidance on whether the proposed research topic falls within the scope of the HDBE program and/or co-review might be appropriate.</t>
  </si>
  <si>
    <t>The USAID Global Health Broad Agency Announcement for Research and Development (2018)</t>
  </si>
  <si>
    <t xml:space="preserve">This Broad Agency Announcement (BAA) seeks opportunities to co-create, co-design, co-invest, and collaborate in the research, development, piloting, testing, and scaling of innovative, practical and cost-effective interventions to address the most pressing problems in global health. The United States Agency for International Development (USAID) invites organizations and companies to participate with USAID, in cooperation with its partners, to generate novel tools and approaches that accelerate and sustain improved health outcomes in developing countries. 
PROBLEM: The global community has made great strides in reducing mortality around the world over the last 50 years, but progress in developing countries lags far behind that seen in developed countries. Every year an estimated 303,000 women die during pregnancy and childbirth, 5.9 million children die, and an even greater number become infected with life-threatening diseases like HIV/AIDS, malaria, diarrhea, pneumonia, and TB, among others. The vast majority of deaths due to these largely preventable causes occur in developing countries where access to health services is often poor. Outbreaks of emerging infectious diseases like Ebola and Zika only serve to further compound these health challenges, taxing already stressed health systems and elevating the risk of disease epidemics of global proportions. 
CHALLENGE: Harness the power of science, technology, and innovation to generate new knowledge, tools, and approaches that can reduce developing country mortality down to the levels of more developed countries within a generation. USAID and partners will work to rapidly implement solutions and create an environment for sustainability, scalability, and ultimately health impact. 
 A Broad Agency Announcement is a 2 step process:  
Step 1: The issuance of the BAA: A BAA document provides general information about an area of interest that USAID would like to explore. This particular BAA document discusses areas of interest specific to Research and Development for Global Health. Interested parties can not submit â€œExpressions of Interest (EOI)â€ to this BAA document, as this announcement is not a funding opportunity. See below (Step 2) for additional information about funding opportunities related to this BAA.  
Step 2: The issuance of an Addendum: Once a particular area of interest has been identified by USAID, an Addendum is created and provides the following: (1) specific information regarding criteria, (2) eligibility and application requirements, (3) applicable deadlines, and (4) an Addendum-specific Point of Contact (POC). Monitor the following sites for Addenda to this BAA: Grants.gov and FedBizOpps. 
</t>
  </si>
  <si>
    <t>RISE II HEALTH SERVICES DELIVERY ACTIVITY</t>
  </si>
  <si>
    <t>Others (see text field entitled "Additional Information on Eligibility" for clarification) This is an RFI.</t>
  </si>
  <si>
    <t>This is a Request for Information (RFI) Notice requesting comments to the draft Program Description (PD) below for the USAID/Senegal, Sahel Regional Officeâ€™s (SRO) RISE II Health Services Delivery (HSD) Activity. The purpose of this RFI is to obtain feedback from stakeholders prior to SRO potentially issuing a Notice of Funding Opportunity (NOFO) Announcement. This RFI is not a Request for Application (RFA). Therefore, USAID/Senegal is not accepting applications at this time.  
Please provide no more than 4 pages of comments no later than June 15, 2018 through email to sahelregional@usaid.gov. 
Responses/comments received from this RFI may be used for planning purposes. Responding to this RFI will not give any advantage to any potential applicant in any subsequent procurement and will not lead to an organizational conflict of interest. You may receive an electronic confirmation acknowledging receipt of your response. 
USAID will hold a Pre-Solicitation Conference on June 04, 2018 at the U.S. Embassy in Dakar from 12:30 to 15:00 local time (GMT). For convenience, another alternate site for participation through VTC may be provided in the Washington, D.C. area.</t>
  </si>
  <si>
    <t>NSF/FDA Scholar-In-Residence at FDA</t>
  </si>
  <si>
    <t xml:space="preserve">The National Science Foundation (NSF), through the Directoratefor Engineering, the Directorate of Computer and Information Science and Engineering Division of Computer and Network Systems, and the Directorate for Mathematical and Physical Sciences Division of Materials Research, along with the U.S. Food and Drug Administration (FDA), through its Center for Devices and Radiological Health (CDRH), have established the NSF/FDA Scholar-in-Residence Program at FDA. This program comprises an interagency partnership for the investigation of scientific and engineering issues concerning emerging trends in medical device technology. This partnership is designed to enable investigators in science, engineering, and computer science to develop research collaborations within the intramural research environment at the FDA. Thissolicitation features three flexible mechanisms for support of research at the FDA: 1) Principal Investigators at FDA; 2) Postdoctoral Researchers at FDA; and 3) Graduate Students at FDA.
_x000D_
 </t>
  </si>
  <si>
    <t xml:space="preserve">Augmenting Capacity for Humanitarian Emergencies of Infectious Diseases </t>
  </si>
  <si>
    <t>The overall scope, goal  of the program(s) to be funded under the award(s) resulting from this APS includes: establishing standby capacity by strengthening and augmenting preparedness and readiness of and between potential responders from national and/or international NGOs organizations, PIOs, academic and private institutions, improving technical capacity and coordination for an integrated, effective multi-sectoral response to an infectious disease outbreak that becomes humanitarian emergency.  Applicants should build internal mechanisms to improve their institutional capacity to rapidly deploy in response to an infectious disease outbreak that becomes a humanitarian emergency, support organizational capacity to augment or pivot response efforts to keep up with changing needs, and/or to provide support to coordination L3 responses that includes actors from multiple agencies or sectors (i.e. Health, Nutrition, WASH, Agriculture and Food Security, Protection).  USAID/OFDA recognizes other ongoing capacity building initiatives supported by other donors that are focused on governments; this APS is specifically focused on building non-governmental capacity in the humanitarian aid community.</t>
  </si>
  <si>
    <t>EDA Chicago FY 2016 FY 2019 Planning Program and Local Technical Assistance Program</t>
  </si>
  <si>
    <t>Pursuant to PWEDA, EDA announces general policies and application procedures for grant-based investments under the Planning and Local Technical Assistance programs. Under the Planning program EDA assists eligible recipients in creating regional economic development plans designed to build capacity and guide the economic prosperity and resiliency of an area or region. As part of this program, EDA supports Partnership Planning investments to facilitate the development, implementation, revision, or replacement of Comprehensive Economic Development Strategies (CEDS), which articulate and prioritize the strategic economic goals of recipientsâ€™ respective regions. In general, EDA provides Partnership Planning grants to the designated planning organization (e.g., District Organization) serving EDA designated Economic Development Districts to enable these organizations to develop and implement relevant CEDS. In addition, EDA provides Partnership Planning grants to Indian Tribes to help develop and implement CEDS and associated economic development activities. The Planning program also helps support organizations, including District Organizations, Indian Tribes, and other eligible recipients, with Short Term and State Planning investments designed to guide the eventual creation and retention of high-quality jobs, particularly for the unemployed and underemployed in the Nationâ€™s most economically distressed regions. The Local Technical Assistance program strengthens the capacity of local or State organizations, institutions of higher education, and other eligible recipients to undertake and promote effective economic development programs through projects such as feasibility analyses and impact studies.</t>
  </si>
  <si>
    <t>EDA Seattle FY 2016 FY 2019 Planning Program and Local Technical Assistance Program</t>
  </si>
  <si>
    <t>EDA Atlanta FY 2016 FY 2019 Planning Program and Local Technical Assistance Program</t>
  </si>
  <si>
    <t>County governments Pursuant to section 3 of the Public Works and Economic Development Act of 1965 (42 U.S.C.   3122) (PWEDA) and EDA s regulation at 13 C.F.R.   300.3, the following types of entities are eligible to receive funding assistance from EDA: 1. District Organizations (as defined in 13 C.F.R.   300.3); 2. Indian Tribes or a consortium of Indian Tribes; 3. States, cities, or other political subdivisions of a State, including a special purpose unit of a State or local government engaged in economic or infrastructure development activities, or a consortium of political subdivisions; 4. Institutions of higher education or a consortium of institutions of higher education; or 5. Public or private non-profit organizations or associations acting in cooperation with officials of a political subdivision of a State.</t>
  </si>
  <si>
    <t>EDA Austin FY 2016 FY 2019 Planning Program and Local Technical Assistance Program</t>
  </si>
  <si>
    <t>EDA Philadelphia FY 2016 FY 2019 Planning Program and Local Technical Assistance Program</t>
  </si>
  <si>
    <t>Tunisia Resilience and Community Empowerment (TRACE)</t>
  </si>
  <si>
    <t>USAID-MERP</t>
  </si>
  <si>
    <t>Middle East Regional Platform USAID-MERP</t>
  </si>
  <si>
    <t>USAID/Tunisia intends to issue a notice of funding opportunity to solicit applications to implement the activity entitled â€œTunisia Resilience and Community Empowermentâ€ (TRACE).  The anticipated award will be  a five-year cooperative agreement.  Subject to the availability of funds, USAID may  provide up to $49.7 million in total USAID funding to be allocated over five years.</t>
  </si>
  <si>
    <t xml:space="preserve">EONS 2018: Appendix E Minority University Research and Education Project (MUREP) for Sustainability and Innovation Collaborative   (MUSIC) </t>
  </si>
  <si>
    <t>Unrestricted (i.e., open to any type of entity above), subject to any clarification in text field entitled "Additional Information on Eligibility" Minority Serving Institutions (MSIs), Non-profit Organizations with missions to support MSIs</t>
  </si>
  <si>
    <t xml:space="preserve">Awards will be made as cooperative agreements to accredited Minority Serving Institutions (MSIs) partnered with non-profit organizations in the United States that are eligible to apply for this NASA Research Announcement (NRA). The period of performance for an award is up to 2 years. Prospective proposers are requested to submit any questions in writing to NASAMUSIC@nasaprs.com no later than 10 business days before the proposal due date so that NASA will have sufficient time to respond. Proposers to this NRA are required to have the following, no later than the due date: 1) a Data Universal Numbering System (DUNS) number, _x000D_
2) a valid registration with the System for Award Management (SAM) [formerly known as the Central Contractor Registry (CCR)], 3) a valid Commercial And Government Entity (CAGE) Code, 4) a valid registration with NASA Solicitation and Proposal Integrated Review and Evaluation System (NSPIRES) (this also applies to any entities proposed for sub-awards or subcontracts.) Consult Appendix H Section H.3.1 for more eligibility information. _x000D_
Consult Appendix H Section 2.2 regarding teaming requirements and partnership guidelines._x000D_
The goal of NASA MUSIC is: to provide strategic effort that will leverage research and contract relationships of MSIs and NASA through relationships developed by non-profit organizations that may include collaboration of subject matter experts and access to NASA research facilities; An effort to improve STEM education and research at MSIs; A funded activity that seeks to build institutional capacity of MSIs; An activity to support long-term sustainability of STEM research at MSIs. MUSIC seeks to address the agency goals and objectives through:  Increasing the institutional awareness of NASA competitive resources that can build the capacity of MSIs to offer and conduct STEM undergraduate and graduate research with a focus on NASA opportunities. Assembling MSIs and their stakeholders with common interests, and challenges then provide common tools for MSIs to increase efficiency and optimize resources including opportunities to develop formal and informal partnerships. Connecting MSI administrators and university STEM leaders to cutting-edge initiatives at NASA that can increase interest in securing research and contracting opportunities while supporting NASAâ€™s policy to achieve an Agency-wide goal of providing one percent of total contract value of prime and subcontracting awards to MSIs.     https://www.hq.nasa.gov/office/procurement/regs/1826.htm_x000D_
To achieve these goals, MUSIC seeks to increase university program capacity about practical uses of research to drive institution sustainability through the following targets:  Advance the understanding of MSIs on how to effectively develop institutional administrative support by competing at the university level for funding opportunities, which will result in successful application to, and management of these funding opportunities (including those at NASA).  Extend MSIâ€™s capabilities by: A.   Leveraging the MSIs research capabilities with NASA research to develop Small Business Innovation Research (SBIR) and Small Business Technology Transfer (STTR) projects that develop and demonstrate innovative technologies that fulfill NASA needs and have significant potential for successful commercialization. B.  Increasing the preparation of undergraduate and graduate science, technology, engineering, and mathematics faculty with opportunities to participate with NASA researchers and missions through grants and contracts. To achieve these goals and objectives, NASA solicits proposals from MSIs to implement the NASA MUSIC; to engage MSIs in authentic STEM experiences related to NASA missions; and to inspire and captivate learners utilizing NASAâ€™s unique assets to develop a keen interest in STEM. Every institution that intends to submit a proposal to this NRA, including the proposed prime award or any partner whether an education institution, other non-profit institutions, and other organizations that will serve as sub-awardees or contractors, must be registered in NSPIRES. Electronic submission of proposals is required by the due date and must be submitted by an authorized official of the proposing organization. Such registration must identify the authorized organizational representative(s) who will submit the electronic proposal. All principal investigators and other participants (e.g. co-investigators) must be registered in NSPIRES regardless of submission system. Potential proposers and proposing organizations are urged to access the system(s) well in advance of the proposal due date(s) of interest to familiarize themselves with its structure and enter the requested information. Electronic proposals may be submitted via the NASA proposal data system NSPIRES or via Grants.gov. Organizations that intend to submit proposals via Grants.gov must be registered 1) with Grants.gov and 2) with NSPIRES.  Additional programmatic information for this NRA may develop before the proposal due date. If so, such information will be added as a Frequently Asked Question (FAQ) or formal amendment to this NRA and posted on http://nspires.nasaprs.com. It is the proposerâ€™s responsibility to regularly check NSPIRES for updates to this NRA. _x000D_
</t>
  </si>
  <si>
    <t>Gaza Household WASH Activity (GHW)</t>
  </si>
  <si>
    <t xml:space="preserve">Others (see text field entitled "Additional Information on Eligibility" for clarification) Qualified U.S. and non-U.S. Non-Governmental Organizations (NGOs), U.S. Private Voluntary Organizations (PVOs), and U.S. and non-U.S. for profit firms may participate in this funding opportunity. </t>
  </si>
  <si>
    <t xml:space="preserve">USAIDâ€™s West Bank and Gaza Mission (USAID/WBG) is issuing this Funding Opportunity to solicit applications for  Gaza Household WASH (GHW), a three-year Activity. The goal of Gaza Household WASH Activity (GHW) is to improve human health, environmental health, and livelihoods in vulnerable communities by increasing access to facilities and services for safe domestic water and improved sanitation.  _x000D_
_x000D_
The activity intends to address the following priorities in Gaza that align with the Coastal Municipalities Water Utility (CMWU) and OCHAâ€™s Humanitarian Rapid Response Plan (2018-2020): _x000D_
_x000D_
1. The provision of durable solutions to vulnerable communities, such as the establishment, extension or rehabilitation of water distribution networks and sanitation systems at the household and neighborhood levels._x000D_
2. Increase emergency WASH preparedness interventions to mitigate and reduce rainwater and sewage flooding risks in vulnerable communities._x000D_
_x000D_
The geographic focus of  all interventions will be in Gaza, and to the extent possible, in the Access Restricted Areas (ARAs), flood-prone areas, and areas exposed to environmental health risks in Gaza. </t>
  </si>
  <si>
    <t>Resilience in the Sahel Enhanced (RISE) II Technical Approach Working Paper</t>
  </si>
  <si>
    <t>Others (see text field entitled "Additional Information on Eligibility" for clarification) N/A - Request for Information</t>
  </si>
  <si>
    <t>This working paper is meant to provide information on the strategic and technical approach USAID intends to use for RISE II.  USAID retains the right to change its strategic or technical approach at any time without notification.  This paper is a reference document that contains useful information for applicants seeking funding under RISE II, as well as for others who wish to partner with USAID, or better understand USAIDâ€™s approach.  It is not a solicitation document.  Organizations interested in obtaining funding from USAID are advised to monitor Grants.gov: https://www.grants.gov/ and FedBizOpps.gov: https://www.fbo.gov/ for funding opportunities.  This is a draft document.  Updated versions may be posted on the USAID/SRO website or released in conjunction with future solicitations.  Any new version will be dated with its release date.  Comments or questions on this document should be directed to asadiq@usaid.gov and pasmith@usaid.gov with the header â€œResponse to RISE II Technical Approach.â€ USAID makes no guarantee to respond to questions or comments, but may use them to inform future revisions. This is an RFI notice issued in accordance with FAR 15.201(e), and is not intended to procure goods or services.  Responses to this notice are not offers and cannot be accepted by the Government to form a binding contract.  Responses/comments received from this RFI may be used for planning purposes.  Responding to this RFI will not give any advantage to any firm or organization in any subsequent procurement and will not lead to an organizational conflict of interest.  You will receive an electronic confirmation acknowledging receipt of your response. In accordance with Federal Acquisition Regulation 15.209(c), the following clause is incorporated into this RFI: â€œFAR 52.215-3 REQUEST FOR INFORMATION OR SOLICITATION FOR PLANNING PURPOSES (OCT 1997) (a) The Government does not intend to award a contract on the basis of this solicitation or to otherwise pay for the information solicited except as an allowable cost under other contracts as provided in subsection 31.205-18, Bid and proposal costs, of the Federal Acquisition Regulation.  (b) Although â€œproposalâ€ and â€œofferorâ€ are used in this Request for Information, your response will be treated as information only.  It shall not be used as a proposal.  (c) This solicitation is issued for the purpose of gathering comments on the draft RISE II technical approach.â€</t>
  </si>
  <si>
    <t>Responding to Pakistan s Internally Displaced (RAPID) III</t>
  </si>
  <si>
    <t>The United States Agency for International Development (USAID) is seeking applications for a cooperative agreement from qualified U.S. and Non-U.S. organizations to fund a program entitled Responding to Pakistanâ€™s Internally Displaced III (RAPID III). Eligibility for this award is restricted to Section C of this Notice of Funding Opportunity (NFO) for eligibility requirements.Subject to the availability of funds an award will be made to that responsible applicant(s) whose application(s) best meets the objectives of this funding opportunity and the selection criteria contained herein. While one award is anticipated as a result of this NFO, USAID reserves the right to fund one or more or none of the applications submitted.</t>
  </si>
  <si>
    <t>APS-OAA-16-000001 Addendum COLOMBIA</t>
  </si>
  <si>
    <t>USAID-COL</t>
  </si>
  <si>
    <t>Colombia USAID-Bogota</t>
  </si>
  <si>
    <t xml:space="preserve">Others (see text field entitled "Additional Information on Eligibility" for clarification) Eligible organizations interested in submitting a Concept Paper are required to carefully read this APS addendum as well as the full GDA APS announcement, which can be found at: https://www.usaid.gov/gda/global-development-alliance-annual-program. Reading those materials is essential to understanding the type of GDA alliance sought, concept paper submission requirements and the review and evaluation process.  Eligibility is discussed in Section VIII of the GDA APS and Section II of this addendum. </t>
  </si>
  <si>
    <t xml:space="preserve">The United States Agency for International Development (USAID) Mission in Colombia is making a special call for the submission of Concept Papers focused on leveraging private sector investment and expertise that results in enhance sustainable and inclusive development in Colombiaâ€™s conflict-affected areas._x000D_
_x000D_
Subject to the availability of funds, USAID/Colombia may allocate up to $10,000,000 to fund a portfolio of GDA alliances with the private sector, with funding for individual applications estimated in the range of $1,500,000 to $5,000,000 to be implemented over a period of 3-5 years through 2 to 3 awards, depending on the approach of each individual application. _x000D_
</t>
  </si>
  <si>
    <t>Infectious Disease (with Epidemic or Pandemic potential) Standby Capacity for Humanitarian Emergency APS</t>
  </si>
  <si>
    <t xml:space="preserve">The purpose of this notice is to announce an upcoming Annual Program Statement (APS) for the Infectious Disease (with Epidemic or Pandemic potential) (IDAP Standby Capacity with the scale of a Humanitarian Emergency. This only applies to Infectious Disease events that require activation of a Level 3 IASC. This new Standby Capacity project will address critical multi-sectoral capacity gaps of response actors needed to maintain technical and operational readiness. This may include activities such as (but not limited to) contingency planning, the development of adaptation of toolkits, training or technical guidance, rapid response teams and coordination, to ensure rapid response to infectious diseases outbreaks with epidemics or pandemic potential that reach the scale of a humanitarian emergency (Level 3 IASC activation for an infectious disease event) and that have been declared a Public Health Emergency (PHEIC) of International Concern (or are the equivalent of a PHEIC).  _x000D_
_x000D_
Questions concerning this notice may be directed to the Agreement Officer, at SOLOFDA1788@ofda.gov. USAID may issue a â€œRequest for Informationâ€ before the APS is released. However, please be advised that substantive questions with respect to the APS will not be answered until the APS is released, at which point all applicants will be allowed to submit questions that will be answered in a â€œQ&amp;Aâ€ document, which will be posted to the APS as an amendment. Prospective applicants may not contact USAID technical staff directly for information on this APS â€“ such contact may be grounds for exclusion from the competition. This notice in no way obligates USAID to release a solicitation or award. Issuance of an APS will be subject to internal USAID approvals and the availability of funds. Due to the competitive nature of the procurement, unsolicited applications will not be considered. All applications have to be submitted in response to the APS. </t>
  </si>
  <si>
    <t>Marine Geology and Geophysics</t>
  </si>
  <si>
    <t>The Marine Geology and Geophysics Core Program supports research on all aspects of the geology and geophysics of the present ocean basins and margins, as well as those of the Great Lakes.
The Program supports science that includes:
Structure, composition, tectonics, and evolution of the oceanic lithosphere
Paleoceanography, paleoclimate, and sea level change
Submarine volcanology, petrology and geochemistry of the oceanic crust and upper mantle lithosphere
Marine hydrogeology, water-rock interaction, seeps and gas hydrates
Hydrothermal venting and in situ fluid processes, and associated geochemistry
Geochemical indicators of life operating below the seafloor
Marine sedimentology, stratigraphy, sediment transport, and diagenesis
Mid-ocean ridge spreading, back-arc rifting, transform processes, and ocean island/seamount formation and evolution
Submarine components of subduction zone systems and passive margins
Marine geohazards (e.g., earthquakes, faulting, mass wasting, geological aspects of tsunamis)
Coastal processes (e.g., geological aspects of hurricanes, sea-level change, erosion, offshore deposition)
The Marine Geology and Geophysics Program supports acquisition of new field data and the leveraging of and/or synthesis of existing data. The program supports analytical and laboratory experimental projects, methods development, and modeling. All activities should have relevance to and advance the understanding of marine geoscience processes. The Program interfaces with NSF programs across the Geosciences and across the Agency. For proposals that cross between Programs, proposers should contact the relevant Programs to seek guidance on submission.</t>
  </si>
  <si>
    <t>Partnering for Impact in Guinea</t>
  </si>
  <si>
    <t>Others (see text field entitled "Additional Information on Eligibility" for clarification) Qualified Local Non-U.S. Non-Governmental Organizations (NGOs), Non U.S. Local Private Voluntary Organizations (PVOs).</t>
  </si>
  <si>
    <t xml:space="preserve">This Annual Program Statement (APS) is designed to describe and provide a process through which organizations can work with USAID/Guinea and the private sector and/or Non U.S. Non-Governmental Organization to build an Alliance that: a)  address important business or community interests and objectives, b)  advance USAIDâ€™s strategic priorities and objectives; andc)  achieve sustainable development outcomes, results and impact.  This Annual Program Statement also provides an opportunity for organizations to receive an award of USAID funding to support activity implementation developed through this Annual Program Statement. </t>
  </si>
  <si>
    <t>Alaska Sea Grant State Fellowship Program</t>
  </si>
  <si>
    <t>Others (see text field entitled "Additional Information on Eligibility" for clarification) Non-Competitive Cooperative Agreement</t>
  </si>
  <si>
    <t>Non-Competitive Cooperative Agreement</t>
  </si>
  <si>
    <t>Sri Lanka Civil Society Program</t>
  </si>
  <si>
    <t>USAID-SRI</t>
  </si>
  <si>
    <t>Sri Lanka USAID-Colombo</t>
  </si>
  <si>
    <t>Others (see text field entitled "Additional Information on Eligibility" for clarification) Qualified U.S. and non-U.S. Non-Governmental Organizations (NGOs), U.S. Private Voluntary Organizations (PVOs), and U.S. and non-U.S. for profit firms (provided they forgo profit) may participate in this funding opportunity.</t>
  </si>
  <si>
    <t>USAID requests that civil society sector professionals and institutions provide information and recommendations for a more effective project design.The request for information shall address the following:â—	Do the components identified respond to the development needs of Sri Lankaâ€™s civil society sector?â—	In addition to what has already been identified, what other types of assistance are needed to strengthen and support civil society in Sri Lankaâ€™s current social-political context?â—	What high-level results can be achieved through this program? â—	Suggestions to improve proposed goals and objectives. â—	What key issues and policies should civil society focus on to advance transparency, accountability and good governance and why?  What mechanisms should be used to address these issues and policies?  â—	What consortiums would be effective in addressing transparency, accountability, and good governance?â—	What do you envision as opportunities for financial viability and sustainability of CSOs?Please limit your responses to a maximum of three pages.Responses regarding this Request for Information (RFI) are to be submitted in writing to: Mr. Harsha Kaluarachchi, Acquisition and Assistance Specialist at srilankaprocurement@usaid.gov with copies to the attention of Mr. Robert Parnell, Contracting Officer at rparnell@usaid.gov, by March 23, 2016 at 1700 (Colombo time)</t>
  </si>
  <si>
    <t>NRL WIDE BROAD AGENCY ANNOUNCEMENT</t>
  </si>
  <si>
    <t>The Naval Research Laboratory (NRL) is the Navy's corporate laboratory.  NRL conducts basic and applied research for the Navy in a variety of scientific and technical disciplines.  The basic research program is driven by perceptions about future requirements of the Navy.</t>
  </si>
  <si>
    <t>U.S. Mission Australia Annual Program Statement</t>
  </si>
  <si>
    <t>DOS-AUS</t>
  </si>
  <si>
    <t>U.S. Mission to Australia</t>
  </si>
  <si>
    <t>Others (see text field entitled "Additional Information on Eligibility" for clarification) Applications are encouraged from a variety of individuals and organizations, including but not limited to: non-governmental/civil society organizations, think tanks, educational institutions or subsets thereof, and non-profit organizations.  Prior programmatic experience is desired, along with experience managing budgets.</t>
  </si>
  <si>
    <t xml:space="preserve">Proposals should be submitted via email to the Public Affairs Section of the U.S. Embassy: PASGrantsAustralia@state.gov. _x000D_
_x000D_
Post's grant proposal forms can be found at the link below. Please include as many specific details as possible, including a project timeline and a description of how the U.S. Embassy would be involved and acknowledged in conjunction with the project.  Please include a detailed budget, as well as information about cost sharing by other entities._x000D_
</t>
  </si>
  <si>
    <t>Air Force Defense Research Sciences Conference and Workshop Support</t>
  </si>
  <si>
    <t>Nonprofits that do not have a 501(c)(3) status with the IRS, other than institutions of higher education Only some organizations are eligible to submit proposals for conference or workshop support. We can consider conference or workshop funding requests from U.S. institutions of higher education (IHE) or nonprofit organizations as described in 2 CFR 25.345, including foreign public entities and foreign organizations operated primarily for scientific, educational, service, charitable, or similar purposes in the public interest. Conference or workshop funding support is not available to commercial organizations. DoD Instruction 5410.20,  Public Affairs Relations with Business and Nongovernmental Organizations Representing Business  prohibits co-sponsorship of conferences and workshops with commercial concerns.</t>
  </si>
  <si>
    <t>The Air Force Office of Scientific Research manages the basic research investment for the U.S. Air Force. Conferences and workshops constitute key forums for research and technology interchange. We provide partial support for conferences and workshops as defined in the DoD Joint Travel Regulations in special areas of science that bring experts together to discuss recent research or educational findings, or to expose other researchers or advanced graduate students to new research and educational techniques in our areas of research interest. Our research interests are described in the most recent version of our general Broad Agency Announcement titled, â€œResearch Interests of the Air Force Office of Scientific Researchâ€ posted on Grants.gov. We can only consider funding requests from U.S. institutions of higher education (IHE) or nonprofit organizations as described in 2 CFR 25.345, including foreign public entities and foreign organizations operated primarily for scientific, educational, service, charitable, or similar purposes in the public interest. We do not award grants to organizations with a for-profit organization type. Our support for a workshop or conference is not an endorsement of any organization.Our financial support through grants for conferences and workshops is dependent on the availability of funds, Program Officerâ€™s discretion, and certain other restrictions as described in the full announcement.</t>
  </si>
  <si>
    <t>R Package Development and Data Certification for the National Park Service Units of the National Capital Region and the Northeast</t>
  </si>
  <si>
    <t>The objective of this Agreement is to advance historic preservation at the local level by establishing a task agreement between the National Park Service and the National Alliance of Preservation Commissions (NAPC) to provide training opportunities, promote the Federal Certified Local Government program, and strengthen local preservation commissions by providing bi-annual State Certified Local Government Coordinator Training</t>
  </si>
  <si>
    <t xml:space="preserve">Pre-solicitation Notice - Moderate Voices of Peace </t>
  </si>
  <si>
    <t xml:space="preserve">Others (see text field entitled "Additional Information on Eligibility" for clarification) U.S. or non-U.S. Non-governmental organizations (NGOs), private voluntary organizations (PVOs), for-profit companies willing to forego profit, colleges and universities, and Public International Organizations (PIOs) are eligible to submit applications. Faith-based and community organizations that fit the criteria above are also eligible to apply. _x000D_
_x000D_
U.S. or non-U.S. Non-governmental organizations (NGOs), private voluntary organizations (PVOs), for-profit companies willing to forego profit, colleges and universities, and Public International Organizations are eligible to submit applications. Faith-based and community organizations that fit the criteria above are also eligible to apply. _x000D_
_x000D_
Applicant(s) must have established financial management, monitoring and evaluation, internal control systems, and policies and procedures that comply with established U.S. Government standards, laws, and regulations. All potential awardees will be subject to a responsibility determination (may include a pre-award survey) issued by a warranted Agreement Officer in USAID. _x000D_
</t>
  </si>
  <si>
    <t xml:space="preserve">This is a pre-funding opportunity announcement only. No applications are requested at this time. Please hold all questions/requests for information as they will not be responded to until the full announcement (RFA) is issued. This notice in no way obligates USAID to release a solicitation or award. Issuance of a RFA will be subject to internal USAID approvals and the availability of funds. The request is expected to be available for the public in the next few weeks. Due to the competitive nature of the procurement, unsolicited applications will not be considered. All applications have to be submitted in response to the RFA. _x000D_
_x000D_
USAID/West Africa anticipates awarding a five-year cooperative agreement (CA)  for a messaging and communications project to counter violent extremism and promote democracy, human rights and governance in West Africa. The project will aim to amplify moderate voices of peace and tolerance as part of a broader effort to reduce vulnerability to violent extremism in the Sahel. The project will seek to achieve this goal by: 1) strengthening positive local narratives; 2) increasing dialogue and exchange on CVE and peace concepts; 3) expanding access to information; 4) promoting citizen/government dialogue, and; 5) enhancing regional collaboration among media actors.  Learning from interventions, communities, and events and adapting new approaches based on that learning will be a critical aspect of the 5-year effort.  The approach of the project will blend media-development approaches with strategic communications and behavior change programming, leveraging both new and traditional media to reach populations most at risk to violent extremism in West Africa.  The geographic focus of the project will initially include Burkina Faso, Chad and Niger, with a planned expansion to Cameroon in the fall of 2017.  However, this project will have built-in flexibility to modify its geographic targets, messaging and scope in order to adapt and respond to fluid security situations and continuously changing VEO narratives.  _x000D_
_x000D_
Dun and Bradstreet Universal Numbering System (DUNS) Number and System for Award Management (SAM) _x000D_
_x000D_
Please be advised that each applicant (unless the applicant is an individual or Federal awarding agency that is excepted from those requirements under 2 CFR Â§25.110(b) or (c), or has an exception approved by the Federal awarding agency under 2 CFR Â§25.110(d)) is required to: be registered in SAM before submitting its application; provide a valid DUNS number in its application; and continue to maintain an active SAM registration with current information at all times during which it has an active Federal award or an application or plan under consideration by a Federal awarding agency. The Federal awarding agency may not make a Federal award to an applicant until the applicant has complied with all applicable DUNS and SAM requirements and, if an applicant has not fully complied with the requirements by the time the Federal awarding agency is ready to make a Federal award._x000D_
</t>
  </si>
  <si>
    <t>RFI - DOE Infrastructure Work Scope Development</t>
  </si>
  <si>
    <t>DOE is seeking information, comments, feedback, and recommendations from interested parties to determine what capabilities supporting research, training and technology demonstration are of highest interest to the nuclear energy research community.All responses are to be made at NEUP.gov per the attached instructions.</t>
  </si>
  <si>
    <t>RFI - DOE R</t>
  </si>
  <si>
    <t>University, National Laboratory, Industry, and International Entities Input to the Office of Nuclear Energyâ€™s Competitive Research and Development Work Scope Development - DOE is seeking ideas in the areas of research, information, comments, feedback, and recommendations from interested parties for future work scopes for the major NE-funded research programs. All responses are to be made at NEUP.gov per the attached instructions.</t>
  </si>
  <si>
    <t>REAP Renewable Energy Systems and Energy Efficiency Improvement Program._x000D_
_x000D_
Refer to Application Package AND Application Instruction links to obtain all necessary forms for a complete application._x000D_
_x000D_
Contact State Energy Coordinators with questions: http://www.rd.usda.gov/files/RBS_StateEnergyCoordinators.pdf</t>
  </si>
  <si>
    <t>Developing Methodologies for Coastal Impacts Associated with Climate Variability</t>
  </si>
  <si>
    <t>Others (see text field entitled "Additional Information on Eligibility" for clarification) See attached Notice of Intent</t>
  </si>
  <si>
    <t>See attached Notice of Intent</t>
  </si>
  <si>
    <t>Feed the Future Asia Innovative Farmers Activity</t>
  </si>
  <si>
    <t>USAID-THA</t>
  </si>
  <si>
    <t>Thailand USAID-Bangkok</t>
  </si>
  <si>
    <t xml:space="preserve">Others (see text field entitled "Additional Information on Eligibility" for clarification) Interested organizations should successfully demonstrate their capability and capacity to implement activities in the Asia region. U.S. and non-U.S. NGOs, are eligible to submit applications. For the purposes of this solicitation, NGOs include any incorporated entity, either non-profit or for-profit, other than a governmental organization. Please note that USAID policy is not to award profit under assistance instruments.  </t>
  </si>
  <si>
    <t xml:space="preserve">This is a pre-funding opportunity announcement only. No applications are requested at this time._x000D_
_x000D_
Please hold all questions/requests for information as they will not be responded to until the full announcement (RFA) is issued._x000D_
_x000D_
This notice in no way obligates USAID to release a solicitation or award. Issuance of a RFA will be subject to internal USAID approvals and the availability of funds. The request is expected to be available for the public in the next few weeks. Due to the competitive nature of the procurement, unsolicited applications will not be considered. All applications have to be submitted in response to the RFA._x000D_
_x000D_
USAID/RDMA anticipates awarding a five-year cooperative agreement (CA) to facilitate agricultural technology diffusion in Asia.  The CA will support an organization, or consortium of organizations with one legal entity as primary lead, to catalyze the transfer of scalable technology across the South and Southeast Asia regions, with a particular focus on Feed the Future (FTF) focus countries Bangladesh, Cambodia, and Nepal._x000D_
_x000D_
The program will consist of four components:_x000D_
1. The first component will be horticulture. The Recipient will identify a compelling regional horticultural problem, for which effective solutions can be explored through technology innovation and diffusion, preferably in partnership with regional private sector and/or academic partners. _x000D_
2. The second component, with conditions similar to the above, will be aquaculture. The aquaculture interventions should aim to improve the sustainability of production. _x000D_
3.The third component reflects USAID/RDMAâ€™s overarching vision for the activity, and will require the Recipient to develop and deliver an approach for identifying and implementing interventions addressing important regional agriculture or food security problems, through broad engagement with relevant stakeholders across the region._x000D_
4. The fourth component will be dynamic and flexible and will respond to the specific requests of the bilateral USAID FTF missions for support in addressing a problem through transferred technology. This component will be primarily bilateral mission initiated, designed, and funded._x000D_
	_x000D_
Dun and Bradstreet Universal Numbering System (DUNS) Number and System for Award Management (SAM)_x000D_
_x000D_
Please be advised that each applicant (unless the applicant is an individual or Federal awarding agency that is excepted from those requirements under 2 CFR Â§25.110(b) or (c), or has an exception approved by the Federal awarding agency under 2 CFR Â§25.110(d)) is required to: be registered in SAM before submitting its application;  provide a valid DUNS number in its application; and continue to maintain an active SAM registration with current information at all times during which it has an active Federal award or an application or plan under consideration by a Federal awarding agency. The Federal awarding agency may not make a Federal award to an applicant until the applicant has complied with all applicable DUNS and SAM requirements and, if an applicant has not fully complied with the requirements by the time the Federal awarding agency is ready to make a Federal award._x000D_
</t>
  </si>
  <si>
    <t>Physical Oceanography</t>
  </si>
  <si>
    <t>The Physical Oceanography Program supports research on a wide range of topics associated with the structure and movement of the ocean, with the way in which it transports various quantities, with the way the ocean's physical structure interacts with the biological and chemical processes within it, and with interactions between the ocean and the atmosphere, solid earth and ice that surround it.</t>
  </si>
  <si>
    <t>Chemical Oceanography</t>
  </si>
  <si>
    <t>TheChemical OceanographyProgram supports research into the chemistry of the oceans and the role of the oceans in global geochemical cycles. Areas of interest include chemical composition, speciation, and transformation; chemical exchanges between the oceans and other components of the Earth system; internal cycling in oceans, seas, and estuaries; and the use of measured chemical distributions as indicators of physical, biological, and geological processes.</t>
  </si>
  <si>
    <t>National Facilities</t>
  </si>
  <si>
    <t>The National Facilities program supports the operation of national user facilities: National Facilities areresearch facilities with specialized instrumentation available to the scientific research community in general and the materials research community in particular.These facilities provide unique research capabilities that can be located at only a few highly specialized laboratories in the Nation. They provide open user service for scientists and engineers from a broad range of disciplines including biology, chemistry, geosciences, materials research. and physics. Theyinclude facilities and resources for research using high magnetic fields, ultraviolet and x-ray synchrotron radiation, neutron scattering, and nanofabrication. Theyserve as science and technology-related resources and experiences for students. Theyconduct student and teacher education, general public awareness activities, curriculum development, and educational research.</t>
  </si>
  <si>
    <t>Annual Program Statement - Policy, Advocacy, and Communication Enhanced  for Population and Reproductive Health (PACE)</t>
  </si>
  <si>
    <t>Others (see text field entitled "Additional Information on Eligibility" for clarification) Eligibility Criteria: U.S. and non-U.S. public, private, for-profit, and nonprofit organizations, as well as institutions of higher education, public international organizations, and non-governmental organizations, are eligible to submit a concept paper under each Round(s) of the APS. Further, the organization must be a legally-recognized, organizational entity under applicable law, not otherwise restricted by statute, regulation, Agency policy, or administrative determination (i.e., suspension and debarment) from receiving assistance, and legally registered in a country that is not a prohibited source per ADS 310.  Each recipient must be a responsible entity. The AO may determine a Pre-Award survey is required and if so, would establish a formal survey team to conduct an examination that will determine whether the prospective recipient has the necessary organizational, experience, accounting and operational controls, and technical skills   or ability to obtain them   in order to achieve the objectives of the program. Organizations in developing countries are strongly encouraged to apply, inasmuch as they will support not only the objectives of this APS and the Round(s) they are applying to, but also USAID's objectives to build capacities in local organizations that are needed for sustainable development. USAID strongly encourages applications from potential new partners that meet the eligibility requirements and are willing to be subjected to a Pre-Award Survey.  Concept papers from organizations that do not meet the above eligibility criteria will not be reviewed and evaluated. Individuals are not eligible to apply for any Rounds of this APS.  Please see Round-specific additional eligibility criteria for any changes to this information.</t>
  </si>
  <si>
    <t>The Round 2 Call for Concept Papers opened on January 2, 2020. Concept papers are due on January 22nd. Please see the "Related Documents" tab for the Round 2 Document. Please also review the Revised PACE APS, posted under "Related Documents" on December 11, 2019.
This revised APS publicizes the intention of the United States Government (USG) to fund one or multiple awards through the USAID Global Health Bureau to address the overarching APS Program Purpose of assuring that voluntary family planning/reproductive health (FP/RH) and population dynamics are included in policies and programs as key to sustainable and equitable economic growth and development. 
This main APS document outlines the purpose, sub-purpose, expected results, and priorities of Policy, Advocacy, and Communication Enhanced for Population and Reproductive Health (PACE), and may result in multiple awards issued under subsequent APS Rounds. Note: When referencing PACE in this document, the reference is to the full portfolio of possible awards under this overall purpose. This specific document is an umbrella APS and will not be accepting concept papers or applications. Prospective applicants will be provided a fair opportunity to develop and submit competitive concept papers to USAID for potential funding via discrete Rounds under this APS. For the purposes of the PACE APS, a â€œRoundâ€ is defined as a specific program description that falls under the larger PACE APS purpose, sub-purpose, and results but is tailored to a certain focus. Under each Round, applicants will first submit a short concept paper that will be reviewed for responsiveness to the overall PACE purpose, selected results, and Roundâ€™s focus and then scored according to the review criteria provided in the Round document. If an applicant is successful in the concept paper stage, applicant representatives may be invited to join a co-creation process. Following co-creation, selected applicants (individual organizations and/or consortia developed at concept paper stage or during co-creation) will be requested to submit a Full Application, the content and format of which will be provided in greater detail by the Agreement Officer. Publishing this APS does not commit USAID to make any awards. USAID also reserves the right to not conduct a co-creation workshop/process and request Full Applications from successful applicants at concept paper stage.
Pending funding availability, there may be multiple Rounds for this APS that will all aim to meet the Purpose and Results mentioned above. The financial range for award(s) will be specified in each Round.
Issuance of this APS does not constitute an award or commitment on the part of the USG, nor does it commit the USG to pay for costs incurred in the preparation and submission of a concept paper or an application. 
USAID reserves the right to close or amend the APS on or before the closing date (March 12, 2025). Therefore, for each issued Round, organizations are encouraged to apply as soon as possible to be considered for review to maximize the possibility of receiving available funding.
As Rounds occur, notifications will be posted on Grants.gov. Please refer to the specific Round documents for detailed information on the concept paper submission guidance including Round points of contact, concept paper requirements, and evaluation criteria for the specific Round. These Round documents should be located under the "Related Documents" tab in this posting.
For a USAID Mission or USAID/Washington Office wishing to issue a Round under this APS, the program description must fit within Section I of this document. Please contact Samantha Pierre (spierre@usaid.gov) for review of the Round document - it must be reviewed before being posted publicly under this APS. All new Rounds must be posted as a PACE APS Round on the USAID Business Forecast.</t>
  </si>
  <si>
    <t>The USAID Global Health Development Innovation Accelerator Broad Agency Announcement</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</si>
  <si>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  All organizations must be determined to be responsive to this BAA and sufficiently responsible to perform or participate in the final award type.</t>
  </si>
  <si>
    <t>This Broad Agency Announcement (BAA) seeks opportunities to co-create, co-design, co-invest, and collaborate in the development, testing, and scaling of innovative approaches that address critical global health challenges.  The United States Agency for International Development (USAID) invites organizations and companies to participate with USAID, in cooperation with its partners, in response to a Global Health Challenge Addenda issued under this BAA, as described below, to provide innovative interventions and technologies that further the U.S. GovernmentÂ’s commitment to prevent and manage critical global health challenges.</t>
  </si>
  <si>
    <t>The USAID Development Innovation Accelerator (DIA) Broad Agency Announcement (BAA) for Global Forestry and Biodiversity Conservation</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</si>
  <si>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multilateral and international donor organizations are eligible under this BAA, unless otherwise stated in the individual BAA Addendum. All organizations must be determined to be responsive to the BAA and sufficiently responsible to perform or participate in the final award type.</t>
  </si>
  <si>
    <t xml:space="preserve">This Broad Agency Announcement (BAA) seeks opportunities to co-create, co-design, co-invest, and collaborate in the research, development, piloting, testing, and scaling of innovative, practical and cost-effective interventions to address critical biodiversity conservation challenges. The United States Agency for International Development (USAID) invites organizations and companies to participate with USAID in response to a Critical Biodiversity Conservation Challenge Addendum issued under this BAA, as described below, to create more strategic, focused and results-oriented biodiversity programming and apply scientific and research-motivated approaches to support sustainable biodiversity conservation and development outcomes. This is the broad global forestry and biodiversity BAA for USAID. </t>
  </si>
  <si>
    <t>USAID/Brazil Partnership to Conserve Amazon Biodiversity</t>
  </si>
  <si>
    <t>USAID-PER</t>
  </si>
  <si>
    <t>Peru USAID-Lima</t>
  </si>
  <si>
    <t>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t>
  </si>
  <si>
    <t>This Broad Agency Announcement (BAA) seeks opportunities to co-create, co-design, co- invest, and collaborate in the development, piloting, and scaling of practical and cost-effective innovations that will help address critical challenges in biodiversity conservation in the Amazon. The United States Agency for International Development (USAID), in cooperation with the Government of Brazil (GOB), invites organizations and companies to participate with USAID, in cooperation with its partners, in response to Critical Conservation Challenge Addenda issued under this BAA, to provide innovations, and technologies that further USAIDÂ’s Development Objective of Enhanced Biodiversity Conservation for Brazilian Amazonian Protected Areas Systems.</t>
  </si>
  <si>
    <t>The USAID Fighting Ebola BAA</t>
  </si>
  <si>
    <t xml:space="preserve">Others (see text field entitled "Additional Information on Eligibility" for clarification) Public, private, for-profit, and non-profit organizations, as well as institutions of higher education, public international organizations, non-governmental organizations, U.S. and non-U.S. government organizations, and international donor organizations are eligible under this BAA, unless otherwise stated in the individual BAA Addendum.  All organizations must be determined to be responsive to this BAA and sufficiently responsible to perform or participate in the final award type.  </t>
  </si>
  <si>
    <t>This Broad Agency Announcement (BAA) seeks opportunities to co-create, co-design, co-invest, and collaborate in the development, testing, and scaling of practical and cost-effective innovations that can help healthcare workers on the front lines provide better care and stop the spread of Ebola.  The United States Agency for International Development (USAID) invites organizations and companies to participate with USAID, in cooperation with its partners, in response to Fighting Ebola Challenge Addenda issued under this BAA, as described below, to provide innovations and technologies that further the U.S. GovernmentÂ’s commitment to addressing the Ebola epidemic.</t>
  </si>
  <si>
    <t>USAID/Nigeria Education Crisis Response</t>
  </si>
  <si>
    <t xml:space="preserve">The purpose of this notice is to announce an  Annual Program Statement (APS) for the USAID/Nigeria Education Crisis Response. The overarching goal of the Education Crisis Response is to: Expand enrollment in appropriate, protective and relevant educational options for the girls, boys, and youth that are affected by violence in Northeastern Nigeria.Activities will provide targeted assistance for the girls, boys, and youth that are affected by violence in Northeastern Nigeria, and ensure that children and youth have continued access to an instructional routine in Adamawa and the buffer States of Bauchi and Gombe (with other States to be determined as needs require and conditions permit). Within this goal, the Education Crisis Response will address the following problems: Â•	Expected large increase in drop-out rates in affected States Â•	Over-crowding of classrooms and learning spaces due to influx of displaced populations Â•	Limited access for displaced children Â•	Shortage of qualified teachers and instructional materials for formal and non-formal education Â•	Children traumatized by violence and abductions, and families fear of sending their children to school Â•	Marginalization of girls and children with disabilities Â•	Rising tensions between host communities and displaced populations.Programs may have a maximum duration of 36 months. Priority will be given to applications that can be launched rapidly. USAID anticipates awarding approximately two to six awards ranging anywhere from minimum grant size of $300,000 and a maximum grant size of $15,000,000 made available either to one grantee, multiple grantees, or no grantees depending on the quality of the applications and availability of funds.Subject to the availability of funds, USAID intends to provide the funding in the total range of approximately $30,000,000. USAID/Nigeria reserves the right to make multiple grants, cooperative agreements, or no awards at all through this APS. Questions concerning this notice may be directed to Abdullahi Sadiq, USAID/Nigeria Assistance Specialist, at asadiq@usaid.gov with a copy to abujaeduprocurements@usaid.gov. Prospective applicants may not contact USAID technical staff directly for information on this APS Â– such contact may be grounds for exclusion from the competition. Until the Grants/ and/or Cooperative Agreements are awarded, all communication between applicants and USAID must be directed through the Assistance Specialist.This notice does not obligate USAID to award a grant or cooperative agreement, nor does it commit the U.S. Government to pay any cost incurred in the preparation and submission of applications.Deadline for submission of question for Round 1 was August 04, 2014. Deadline for submission of applications for Round 1 is: September 05, 2014.Prospective applicants are strongly advised to click the "FULL ANNOUNCEMENT" tab and download the APS and the APS Questions and Answers (Q&amp;A) for full details. </t>
  </si>
  <si>
    <t>Facilitating Research at Predominantly Undergraduate Institutions:</t>
  </si>
  <si>
    <t>Others (see text field entitled "Additional Information on Eligibility" for clarification) *Who May Submit Proposals: Proposals may only be submitted by the following:
  -
Eligible predominantly undergraduate institutions (PUIs) are accredited colleges and universities (including two-year community colleges) that award Associate's degrees, Bachelor's degrees, and/or Master's degrees in NSF-supported fields, but have awarded 20 or fewer Ph.D./D.Sci. degrees in all NSF-supported fields during the combined previous two academic years.
*Who May Serve as PI:
See Additional Eligibility Information in Section IV.B of this solicitation.</t>
  </si>
  <si>
    <t xml:space="preserve">The Research in Undergraduate Institutions (RUI) and Research Opportunity Awards (ROA) funding opportunities support research by faculty members at predominantly undergraduate institutions (PUIs).Â  RUI proposals support PUI faculty in research that engages them in their professional field(s), builds capacity for research at their home institution, and supports the integration of research and undergraduate education. ROAs similarly support PUI faculty research, but these awards typically allow faculty to work as visiting scientists at research-intensive organizations where they collaborate with other NSF-supported investigators. 
Eligible PUIs are accredited colleges and universities (including two-year community colleges) that award Associate's degrees, Bachelor's degrees, and/or Master's degrees in NSF-supported fields, but have awarded 20 or fewer Ph.D./D.Sci. degrees in all NSF-supported fields during the combined previous two academic years. 
All NSF directorates may support RUI and ROA funding activities. Funding for these awards is contained within research and education program allocations and not held as a separate allocation. RUI and ROA proposals are evaluated and funded by NSF programs in the disciplinary areas of the proposed research and are funded at their discretion.Â 
Prospective PIs should contact disciplinary program officers to identify specific NSF programs and to determine the feasibility and timing of RUI/ROA requests. General RUI/ROA points of contact are available through the website http://www.nsf.gov/crssprgm/rui_roa/contacts.jsp.  
1. Research in Undergraduate Institutions (RUI). An RUI proposal may be: 
A request to support an individual research project or a collaborative research project involving PUI faculty and students at their own or other institutions.
A request involving shared research instrumentation.
2.Â  Research Opportunity Awards (ROA). The types of ROA opportunities include:Â 
A supplement to an existing NSF award to support ROA activities for PUI faculty.
Requests to rebudget funds in an existing NSF award to support ROA activities for PUI faculty.
Submission of a new collaborative proposal between a PUI and another institution(s), with a ROA component as a subaward or as part of a linked collaborative proposal. 
</t>
  </si>
  <si>
    <t>Ocean Drilling Program</t>
  </si>
  <si>
    <t xml:space="preserve">International Ocean Discovery Program Operations
The International Ocean Discovery Program (IODP) serves to advance basic research in the marine geosciences and is supported by the National Science Foundation (NSF) and its international partners. The science plan, Illuminating Earth's Past, Present, and Future: The International Ocean Discovery Program Science Plan for 2013-2023, provides justification for the United States' participation in the IODP and reflects the top priorities of the international science community. A multi-platform approach is required to address the goals outlined in the IODP science plan, including a non-riser vessel to collect widely-distributed high-resolution cores to address climate, environmental, crustal and observatory science objectives; a heavy riser-equipped vessel to reach the deep sedimentary and crustal layers; and mission-specific platforms to support high-latitude and shallow-water projects.
The light drillship, JOIDES Resolution, is provided by the U.S. National Science Foundation. Science operations for the JOIDES Resolution are conducted through a Cooperative Agreement with Texas A M University with scientific planning conducted by the JOIDES Resolution Facility Board.
The Ministry of Education, Culture, Sports, Science and Technology (MEXT) of Japan provides the heavy drillship, Chikyu (Earth), to conduct the deep drilling projects in the new program. The Center for Deep Earth Exploration of the Independent Administrative Institution, Japan Agency for Marine-Earth Science and Technology (JAMSTEC) operates the vessel for IODP. Scientific planning for Chikyu IODP operations is conducted by the Chikyu IODP Board.
Mission Specific Platforms (MSP) are provided by the European Consortium for Ocean Research Drilling (ECORD). The ECORD Facility Board conducts scientific planning for MSP expeditions and the platforms themselves are operated by the European Science Operator (ESO).
A Science Support Office (SSO) is provided by Scripps Institution of Oceanography, University of California San Diego under a Cooperative Agreement with the National Science Foundation. The SSO s primary tasks include:
providing logistical support for the JOIDES Resolution Facility Board and its advisory panels
overseeing the proposal submission and review process
managing the Site Survey Data Bank
providing a gateway website to IODP scientific planning
U.S. scientific community involvement in IODP is facilitated by the United States Science Support Program (USSSP) for Ocean Drilling. USSSP is run by Lamont-Doherty Earth Observatory of Columbia University under a Cooperative Agreement with the National Science Foundation. USSSP s primary tasks are:
support for U.S.-based researchers to participate on IODP expeditions, participate on the IODP advisory panels, and conduct initial post-expedition research
support for planning and thematic workshops and pre-drilling activities to collect, refine, and/or integrate site specific and/or regional data that aid in planning drilling expeditions
support outreach activities on IODP drilling platforms, for graduate students fellowships, and an IODP-themed lecture series. 
United States Science Support for Drilling-Related Research
Grant support for drilling-related research performed by United States scientists is available from the NSF. Proposals for most pre-expedition (e.g., site characterization) and post-expedition studies should be submitted through the appropriate NSF programs, such as Ocean Sciences Marine Geology and Geophysics, Earth Sciences, Polar Programs, etc.
Additional drilling-related research support for United States scientists may be obtained via the U.S. Science Support Program. Funding opportunities from this NSF-sponsored program include, but are not limited to:
supplemental funding ( $18,000) for post-expedition research by U.S scientists who participate in IODP expeditions
planning activities, such as workshops on specific ocean-drilling scientific themes, topics, or geographic regions
pre-drilling activities to acquire data or information that will enhance a drilling expedition.
</t>
  </si>
  <si>
    <t>US-Egypt Learning Program</t>
  </si>
  <si>
    <t>USAID-EGY</t>
  </si>
  <si>
    <t>Egypt USAID-Cairo</t>
  </si>
  <si>
    <t>Others (see text field entitled "Additional Information on Eligibility" for clarification) Full and Open  competition</t>
  </si>
  <si>
    <t xml:space="preserve">The purpose of this solicitation is to provide targeted technical assistance and training support to the Government of Egypt to enable it to effectively implement a sustainable, nation-wide early grade learning (reading and mathematics) as well as develop an approach for improving the instruction of English in primary school.  Over the last three years, the Ministry of Education has demonstrated strong commitment to design and scale up an Early Grade Reading Program (EGRP) that was developed in 2010 under a USAID-funded program (GILO Â– Girls for Improved Learning Outcomes).   Most recently the Ministry of Education (MOE) has decided to incorporate a mathematics component in the early grade reading program.  At the same time, the Ministry would like to improve the instruction of English.  Given the MinistryÂ’s strong commitment and experience, it is expected to take the lead in the US-Egypt Learning Program.  The role of the grantee will be a supportive one.  The grantee will solidify and build on the EGRP strategies and approaches introduced by GILO, and expand them to be fully institutionalized.  Specifically the grantee will collaborate with the MOE to:  _x000D_
(1)	 Strengthen early grade reading instruction, and improve mathematics and English language teaching and learning materials and instructional approaches _x000D_
(2)	Develop cost-effective national assessments for reading and mathematics as well and monitoring and reporting systems._x000D_
(3)	Institutionalize pre-service and in-service professional development systems for early grade teachers and supervisors._x000D_
(4)	Improve the education delivery system and build the capacity of Governorate and Idara (district) teams to develop and implement education plans that include budgets for early grade learning, incentives, and needed human resources._x000D_
</t>
  </si>
  <si>
    <t>More Transparent and Accountable Governanace</t>
  </si>
  <si>
    <t>USAID-GEO</t>
  </si>
  <si>
    <t>Georgia USAID-Tbilisi</t>
  </si>
  <si>
    <t xml:space="preserve">This is for informational purposes, for potential offerors/applicants to plan accordingly.  This project summary is intended to provide a broad picture of the mission's planned approach to good governance; it is one of three democracy and governance projects under the USAID Mission's 2013-2017 CDCS. We do not anticipate this project to change significantly. The next postings related to this document will be Requests for Proposals/Requests for Applications.  </t>
  </si>
  <si>
    <t>USAID/DCHA/FFP International Emergency Food Assistance</t>
  </si>
  <si>
    <t xml:space="preserve">Title II and Emergency Food Security Program (EFSP) awards to provide local and/or regional purchase of food and/or food vouchers and/or cash transfers.  </t>
  </si>
  <si>
    <t>Child, Newborn, and Maternal Health Project</t>
  </si>
  <si>
    <t xml:space="preserve">Others (see text field entitled "Additional Information on Eligibility" for clarification) The purpose of this amendment is to cancel the Request for Application No:. 391-13-000009 for implementation of the  Child, Newborn, and Maternal Health Activity. </t>
  </si>
  <si>
    <t>The purpose of this amendment is to cancel the Request for Application No:. 391-13-000009 for implementation of the Â“Child, Newborn, and Maternal Health Activity.Â”</t>
  </si>
  <si>
    <t>Sequestration Information</t>
  </si>
  <si>
    <t>Others (see text field entitled "Additional Information on Eligibility" for clarification) Notice</t>
  </si>
  <si>
    <t>Notice</t>
  </si>
  <si>
    <t>Microbicides Research, Development, and Introduction</t>
  </si>
  <si>
    <t>Others (see text field entitled "Additional Information on Eligibility" for clarification) Elibility requirements included in attached document.</t>
  </si>
  <si>
    <t>Clinical trials of vaginal microbicide have been tested recently in South Africa to determine efficacy of reduction of HIV infection.  Microbicide research, development, and introduction activities which could potentially be supported through this APS mechanism are expected to contribute substantially to the Principles of the Global Health Initiative (GHI), particularly in promoting research and innovation; implementing a woman- and girl-centered approach; strengthening and leveraging inputs from multilateral organizations, global health partnerships, and the private sector; and encouraging country ownership and leadership.  Potential activities could also contribute significantly to strengthening the health system building blocks related to commodities and procurement, service delivery, and leadership and governance.  It is expected that gender analyses and other gender considerations will continue to inform the design and implementation of activities implemented as part of the AgencyÂ’s microbicide program.  All awards will also be subject to USAID environmental requirements, including completion of an initial environmental examination.See attached APS for full Funding Opportunity description.</t>
  </si>
  <si>
    <t>School Improvement Program</t>
  </si>
  <si>
    <t xml:space="preserve">Others (see text field entitled "Additional Information on Eligibility" for clarification) United States Government, represented by the Agency for International Development (USAID) Mission to the West Bank and Gaza is seeking applications from qualified U.S. Non-Governmental Organizations (NGOs), U.S. Private Voluntary Organizations (PVOs), Public International Organizations (PIOs), and U.S. for profit firms (provided they forgo profit) to implement a program entitled  School Improvement Program . _x000D_
_x000D_
Pursuant to 22 CFR 226.81, it is USAID policy not to award profit under assistance instruments.  However, all reasonable, allocable and allowable expenses, both direct and indirect, which are related to the agreement program and are in accordance with applicable cost standards (22 CFR 226, OMB Circular A-122 for non-profit organization, OMB Circular A-21 for universities, and the Federal Acquisition Regulation (FAR) Part 31 for profit organizations), may be paid under the anticipated award._x000D_
_x000D_
USAID welcomes applications from organizations which have not previously done business with USAID._x000D_
_x000D_
Applicants must have established financial management, monitoring and evaluation, internal control systems, and policies and procedures that comply with established U.S. Government standards, laws, and regulations.  The successful applicant(s) will be subject to a responsibility determination issued by a warranted Agreement Officer (AO) in USAID._x000D_
_x000D_
The Recipient must be a responsible entity.  The AO may determine a pre-award survey is required and if so, would establish a formal survey team to conduct an examination that will determine whether the prospective recipient has the necessary organization, experience, accounting and operational controls, and technical skills   or ability to obtain them   in order to achieve the objectives of the program._x000D_
_x000D_
</t>
  </si>
  <si>
    <t>Marginalized Palestinian areas suffer from a multitude of political, security and socio-economic problems that hinder development work and put the population at serious risk. The Palestinian Authority (PA) has limited authority and capability to reach all Palestinian areas to provide meaningful support to its residents.  The School Improvement Program will implement interventions to improve the educational environment and quality of education in the most disadvantaged Palestinian areas. This program will provide support to public and private schools in the most disadvantaged Palestinian areas. The primary goal of the program is to improve access to quality education and mitigate challenges to youth development in marginalized areas.  The sub-goals include:  1)	Improved educational facilities through renovation.2)	Improved teaching and learning through teacher training as appropriate, provision of educational resources, and collaboration with local communities.3)	Expanded opportunities for youth development through extracurricular activities, career counseling and training in schools after hours.Illustrative outcomes include:Â•	Improved human and physical educational resources that contribute to narrowing the achievement gap between students in underserved and better served Palestinian areas.Â•	Organized and sustained extracurricular activities and youth programs.Â•	Established networks between teachers, administrators, counselors, officials and community representatives in the targeted schools aiming at improving the quality of education and youth programming.Â•	Enhanced community involvement in school decision-making.Â•	Strengthened educational institutions that provide services to learners.</t>
  </si>
  <si>
    <t>Service Delivery and Support for Families Caring For Orphans and Vulnerable Children (OVC)</t>
  </si>
  <si>
    <t xml:space="preserve">Others (see text field entitled "Additional Information on Eligibility" for clarification) Any local South African non-governmental organization (NGO) and for-profit organization meeting the criteria in section III is eligible to apply under this RFA.  </t>
  </si>
  <si>
    <t>The purpose of this program is to improve the well-being of families and their vulnerable children through comprehensive and coordinated evidence-based interventions that strengthen the capacity of families and communities to care for vulnerable children in sub-districts and districts with high HIV prevalence, high maternal mortality, and a high number of orphans and vulnerable children.</t>
  </si>
  <si>
    <t>Comprehensive District-Based Support for Better HIV/TB Patient Outcomes</t>
  </si>
  <si>
    <t>Others (see text field entitled "Additional Information on Eligibility" for clarification) See RFA for eligibility information.</t>
  </si>
  <si>
    <t>The United States Government, as represented by the United States Agency for International Development (USAID) Mission to Southern Africa, is seeking applications from organizations interested in implementing a five-year comprehensive district-based HIV-related services support program for better patient outcomes, as fully described in this Request for Applications (RFA).</t>
  </si>
  <si>
    <t>African Institutions Innovation Mechanism (AIIM)</t>
  </si>
  <si>
    <t>Others (see text field entitled "Additional Information on Eligibility" for clarification) This opportunity is restricted to applicants that are operational in at least two of the following countries and legally registered in one: Burundi, Democratic Republic of the Congo, Djibouti, Ethiopia, Kenya, Rwanda, South Sudan, Sudan, Tanzania, and/or Uganda</t>
  </si>
  <si>
    <t>Please refer to the following link for the description of the program description:http://www.feedthefuture.gov/sites/default/files/country/strategies/files/EastAfricaFTFMulti-YearStrategy.pdf</t>
  </si>
  <si>
    <t>Vegetation Interns</t>
  </si>
  <si>
    <t>Others (see text field entitled "Additional Information on Eligibility" for clarification) *Task agreement already awarded to SCA for the work described.</t>
  </si>
  <si>
    <t>*Task agreement already awarded to SCA for the work described.</t>
  </si>
  <si>
    <t>Systems Strengthening for Better HIV/TB Patient Outcomes</t>
  </si>
  <si>
    <t xml:space="preserve">Others (see text field entitled "Additional Information on Eligibility" for clarification) Local South African non-governmental organizations (NGO) and for-profit organizations meeting the criteria in section III.  </t>
  </si>
  <si>
    <t>The purpose of this program is to strengthen South African Government (SAG) systems in order to improve patient outcomes and prevent HIV by supporting comprehensive clinic-based (hospitals, community health centers, and primary health care clinics) HIV-related services.</t>
  </si>
  <si>
    <t>Data Management</t>
  </si>
  <si>
    <t xml:space="preserve">Others (see text field entitled "Additional Information on Eligibility" for clarification) Youth Organization </t>
  </si>
  <si>
    <t>The objective of this project is to participate collaboratively in data management and other conservation activities to document and archive information related to much on-going and new resource management projects.  The interns will gain experience in planning and environmental assessments, NEPA, FLPMA, GIS, data entry, data archiving, report writing and other position-related skills, using ArcView, Microsoft Office Suite, and other software. In addition, they will actively participate in conservation project implementation in order to better understand project documentation and data management.</t>
  </si>
  <si>
    <t>Science of Organizations</t>
  </si>
  <si>
    <t>Organizations -- private and public, established and entrepreneurial, designed and emergent, formal and informal, profit and nonprofit -- are critical to the well-being of nations and their citizens. They are of crucial importance for producing goods and services, creating value, providing jobs, and achieving social goals. The Science of Organizations (SoO) program funds basic research that yields a scientific evidence base for improving the design and emergence, development and deployment, and management and ultimate effectiveness of organizations of all kinds. 
SoO funds research that advances our fundamental understanding of how organizations develop, form and operate. Successful SoO research proposals use scientific methods to develop and refine theories, to empirically test theories and frameworks, and to develop new measures and methods. Funded research is aimed at yielding generalizable insights that are of value to the business practitioner, policy-maker and research communities. 
SoO welcomes any and all rigorous, scientific approaches that illuminate aspects of organizations as systems of coordination, management and governance. 
In considering whether a particular project might be a candidate for consideration by SoO, please note: 
Intellectual perspectives may involve (but are not limited to) organizational theory, behavior, sociology or economics, business policy and strategy, communication sciences, entrepreneurship, human resource management, information sciences, managerial and organizational cognition, operations management, public administration, social or industrial psychology, and technology and innovation management. Phenomena studied may include (but are not limited to) structures, routines, effectiveness, competitiveness, innovation, dynamics, change and evolution.Levels of analysis may include (but are not limited to) organizational, cross-organizational collaborations or relationships, and institutional and can address individuals, groups or teams.Research methods may be qualitative and quantitative and may include (but are not limited to) archival analyses, surveys, simulation studies, experiments, comparative case studies, and network analyses. 
Consistent with NSF merit review criteria, each SoO proposal should discuss both the intellectual merit and the potential broader impacts of the proposed research. SoO values basic research that has the potential to provide broader societal benefits. However, the majority of space in any proposal will need to be dedicated to the explication of theory, methods, and specific contribution to the evidence base about organizational effectiveness.
Projects that aim to implement and subsequently evaluate particular organizational training, effectiveness or change programs, rather than to advance fundamental, generalizable knowledge, are not appropriate for SoO.
Researchers who seek to conduct SoO-appropriate research in an industrial site and/or via an industry-university collaboration are invited to also look at the Grant Opportunities for Academic Liaisons with Industry (GOALI) program web site.</t>
  </si>
  <si>
    <t>NSF-NIST Interaction in Basic and Applied Scientific Research in BIO, ENG   MPS</t>
  </si>
  <si>
    <t>Others (see text field entitled "Additional Information on Eligibility" for clarification) *PI Limit:_x000D_
Only principal investigators (PIs) on current NSF awards from participating divisions in the BIO, ENG or MPS Directorates are eligible to apply for supplements.</t>
  </si>
  <si>
    <t>This Dear Colleague Letter is intended to facilitate interactions between Principal Investigators (PIs), co-PIs, post-doctoral scholars and both undergraduate and graduate students supported by the National Science Foundation (NSF) and scientists and engineers at the National Institute of Standards and Technology's (NIST).  NIST operates a vast array of instruments and measurement systems, both commercial equipment and specialized tools developed by NIST researchers.  Researchers from industry, academia, and non-profit organizations interested in working collaboratively with NIST researchers on projects of mutual interest may access these systems as part of that research.  Supplemental support to existing NSF awards may be requested to allow PIs, co-PIs, post-doctoral scholars and both undergraduate and graduate students on these awards to participate in such collaborative research at NIST.</t>
  </si>
  <si>
    <t>Climate Program Office for FY 2012</t>
  </si>
  <si>
    <t xml:space="preserve">Others (see text field entitled "Additional Information on Eligibility" for clarification) Eligible applicants are institutions of higher education, other nonprofits, commercial organizations, international organizations, and state, local and Indian tribal governments. Federal agencies or institutions are not eligible to receive Federal assistance under this notice.  </t>
  </si>
  <si>
    <t xml:space="preserve">Changing climate confronts society with significant economic, health, safety, and national security challenges. NOAA advances scientific and technical programs to help society cope with, and adapt to, today's variations in climate and to prepare for tomorrow's.  Toward this end, the agency conducts and supports climate research, observations, modeling, information management, assessments, interdisciplinary decision support research, outreach, education, and stakeholder partnership development.  These investments are key to NOAA's mission of "Science, Service, and Stewardship" and are guided by the agency's vision to create and sustain enhanced resilience in ecosystems, communities, and economies, as described in NOAA's Next Generation Strategic Plan (NGSP) .   Fostering climate adaptation and mitigation, and, specifically, the development of an informed society anticipating and responding to climate and its impacts - is one of the primary pathways through which NOAA plans to advance its mission. The NGSP outlines NOAA's five-year climate objectives: 1) Improved scientific understanding of the changing climate system and its impacts; 2) Assessments of current and future states of the climate system that identify potential impacts and inform science, service, and stewardship decisions; 3) Mitigation and adaptation choices supported by sustained, reliable, and timely climate services; and 4) A climate-literate public that understands its vulnerabilities to a changing climate and makes informed decisions. NOAA works in partnership with Federal, academic, private, and international research entities, and places a substantial emphasis on productive partnerships and interactions with decision makers and other stakeholders.Within this context, NOAA's Climate Program Office (CPO) manages competitive research programs conducted in regions across the United States, at national and international scales, and globally. The CPO also provides strategic guidance and oversight for the agency's climate science and services programs and helps to integrate capabilities from across the agency to provide enhanced services to its constituents. Achieving the first of the NGSP climate objectives, an improved scientific understanding of the changing climate system and its impacts, requires a number of core capabilities be supported.  These core capabilities can be broadly categorized to include: (a) understanding and modeling, (b) observing systems, data stewardship, and climate monitoring, (c) predictions and projections, and (d) integrated service development and decision support.These core capabilities, in turn, will focus initially on the following societal challenges identified in the NGSP as early evidence of progress to be made by NOAA in providing sustained, reliable, and timely climate services:*      Climate Impacts on Water Resources*     Coasts and Climate Resilience*     Sustainability of Marine Ecosystems*     Changes in Extremes of Weather and Climate*     Information for Mitigating Climate ChangeEach of the Competitions announced in this Federal Funding Opportunity addresses one or more of these core capabilities or societal challenges.  It is expected that applications submitted in response to this Opportunity will identify their relevance to NOAA's climate science and services by indicating which core capabilities and/or societal challenges will be addressed by the proposed work.  Application abstracts must include a paragraph describing the work's relevance to the NGSP's long-term goal of climate adaptation and mitigation as well as to the Competition that is being targeted.In FY 2012, we estimate that $15.5 million will be available for approximately 60 new awards pending budget appropriations.   It is anticipated that most awards will be at a funding level between $50,000 and $200,000 per year, with some exceptions for larger awards.  Investigators are highly encouraged to visit the CPO website http://www.cpo.noaa.gov/index.jsp?pg=/opportunities/opp_index.jsp&amp;opp=2012/program_elements.jsphttp://www.noaa.gov/ngsp </t>
  </si>
  <si>
    <t>INFORMATION ON UGANDA LITERACY AND HEALTH EDUCATION PROGRAM</t>
  </si>
  <si>
    <t>USAID-UGA</t>
  </si>
  <si>
    <t>Uganda USAID-Kampala</t>
  </si>
  <si>
    <t>USAID/Uganda is in the process of designing a new program to support UgandaÃ¯Â¿Â½s Ministry of Education and Sports (MOES) to provide high-quality literacy and HIV/AIDS education.    USAID/Uganda is posting this Concept Paper in order to provide public access to any parties interested in USAIDÃ¯Â¿Â½s support to the education sector in Uganda.  This Concept Paper is intended solely as a thought-piece; ideas contained herein may change significantly during the MissionÃ¯Â¿Â½s program design, consultation and approval process._x000D_
_x000D_
_x000D_
This program is designed in support of UgandaÃ¯Â¿Â½s National Development Plan and the policies laid out in the 1992 Government White Paper on Education.  In line with the Paris Declaration, this program will support the MOES by planning and implementing activities through MOES structures and systems.</t>
  </si>
  <si>
    <t>UGANDA FEED THE FUTURE (FTF) PROGRAMS</t>
  </si>
  <si>
    <t xml:space="preserve">See Application Package for more detailed information on Uganda Feed the Future (FTF) programs._x000D_
_x000D_
This is not a call for applications. This is information to let the public know of USAID/Uganda's anticipated future FTF programming for FY 2010._x000D_
_x000D_
The U.S. Government (USG) anticipates a five-year $150M commitment to be invested in programs that align directly with the goals of Uganda's Development Strategy and Investment Plan (DSIP) with a strategic focus on the maize, beans and coffee value chains. _x000D_
 </t>
  </si>
  <si>
    <t>Palestinian Community Assistance Program</t>
  </si>
  <si>
    <t xml:space="preserve">Others (see text field entitled "Additional Information on Eligibility" for clarification) U.S. Non-Governmental Organizations (U.S. NGOs), U.S. Private Voluntary Organization (PVO), Public International Organizations (PIO), or a U.S. for profit firm (provided they forgo profit). </t>
  </si>
  <si>
    <t xml:space="preserve">USAID/West Bank and Gaza - Palestinian Community Assistance ProgramPre-Solicitation Notice The United States Government (USG), through USAID, has been one of the leading donors of humanitarian assistance to the people of Gaza since the onset of military operations in December 2008.  USAID assistance has focused on the delivery of food and non-food items (including clothing, household items, and hygiene kits), school and classroom supplies for private schools, and emergency supplies (blankets, plastic sheeting, and medical supplies).  This assistance was a critical lifeline for the people of Gaza in the immediate aftermath of Operation Cast Lead and throughout the ensuing months. Humanitarian assistance and disaster response remain key pillars of USG support for Gaza. Additionally, USAID planning for future assistance has increasingly focused on recovery programs that both meet basic human needs and address the recovery of livelihoods for Gazan families.  USAID/West Bank and Gaza will be releasing an RFA that intends to award one Cooperative Agreement to an organization that would manage and oversee humanitarian and recovery sub-grants over a multi-year period.  The RFA will fund complex programming in Gaza which promotes long-term food security, safe and secure housing options, improved infrastructure, household-level economic recovery, and other economic recovery opportunities.  These efforts are in line with the priorities established in the Palestinian AuthorityÂ’s Early Recovery and Reconstruction Plan for Gaza.  Projects funded under this RFA may include activities in the health, education, agriculture, infrastructure, or economic sectors.  Examples of potential activities may include constructing agricultural infrastructure, rehabilitating irrigation systems, providing emergency food and non-food items, constructing or rehabilitating private schools/health clinics, building womenÂ’s centers, weatherizing private homes, or providing educational programming for school age children.  Such activities will provide a tangible benefit to the people of Gaza in 2010 and beyond.  </t>
  </si>
  <si>
    <t>Civic Participation Program</t>
  </si>
  <si>
    <t xml:space="preserve">Others (see text field entitled "Additional Information on Eligibility" for clarification) Qualified U.S. Non-Governmental Organizations (NGOs), U.S. Private Voluntary Organizations (PVOs) registered with USAID, Public International Organizations (PIOs), or U.S. for profit firms (provided they forgo profit). _x000D_
_x000D_
Note for For-Profit Organizations: Pursuant to 22 CFR   226.81, it is USAID s policy not to award fees nor profit under assistance instruments. Other reasonable, allocable, and allowable expenses, both direct and indirect, which are related to the agreement program and are in accordance with applicable cost standards (OMB Circular A-122 for nonprofit organizations), may be paid under the agreement.  </t>
  </si>
  <si>
    <t xml:space="preserve">The United States Agency for International Development (USAID) Mission to the West Bank and Gaza is seeking applications from qualified U.S. Non-Governmental Organizations (NGOs), U.S. Private Voluntary Organizations (PVOs) registered with USAID, Public International Organizations (PIOs), or U.S. for profit firms (provided they forgo profit) to implement a program entitled Â“Civic Participation ProgramÂ” in the West Bank and Gaza. The authority for the RFA is found in the Foreign Assistance Act of 1961, as amended._x000D_
_x000D_
Subject to the availability of funds, USAID/West Bank and Gaza intends to provide approximately $18 Million in total USAID funding for this activity to be allocated over a three- year period.  USAID reserves the right to fund any or none of the applications submitted. Although it is planned to make an award of one Cooperative Agreement under this RFA, USAID/West Bank and Gaza in its discretion may make awards to more than one organization or no award.  _x000D_
_x000D_
The purpose of the Civic Participation Program is to reinvigorate civic participation in the Palestinian Authority (PA) decision-making process, in the monitoring and oversight of government institutions, and in the broader public sector discourse in order to ensure a more vibrant and robust democratic dialogue between the government and the citizens of the future Palestinian state._x000D_
_x000D_
 	The three major program objectives are:_x000D_
_x000D_
1)	Increased institutional capacity of targeted civil society organizations, _x000D_
_x000D_
2)	Increased public awareness of how to participate in public sector decision making with targeted PA institutions and local governmental entities_x000D_
_x000D_
3)	New strategic partnerships among government institutions, citizens, civil society actors, and other stakeholders._x000D_
_x000D_
This activity will support the USAID/West Bank and Gaza MissionÂ’s Assistance Objective 11: Â“To reinforce Palestinian efforts to strengthen the performance and democratic practices of selected public sector institutions and non-state actorsÂ” as outlined in the MissionÂ’s Democracy and Governance Strategy. It will be managed by the USAID/WBGÂ’s Democracy and Governance Office (DGO)._x000D_
_x000D_
 	The four program components are as follows:_x000D_
_x000D_
1.	Civic participation and CSO capacity building_x000D_
2.	Coalition building_x000D_
3.	Windows of Opportunity_x000D_
4.	A robust monitoring and evaluation _x000D_
</t>
  </si>
  <si>
    <t>Community Infrastructure Development Program</t>
  </si>
  <si>
    <t xml:space="preserve">Others (see text field entitled "Additional Information on Eligibility" for clarification) APPLICANT ELEGIBIILTY/QUALIFICATIONS _x000D_
_x000D_
U.S. Non-Governmental Organizations (U.S. NGOs), U.S. Private Voluntary Organization (PVO), Public International Organizations (PIO), or a U.S. for profit firm (provided they forgo profit) actively engaged in activities consistent with the program objectives may submit applications based upon this Request for Applications (RFA).  Applicants should have a successful track record in design and implementation of programs similar to that described herein. _x000D_
</t>
  </si>
  <si>
    <t xml:space="preserve">Community Infrastructure Development Program_x000D_
_x000D_
Increased access to improved public infrastructure is a critical foundation for social and economic development.  Existing infrastructure in Palestine perpetuates poor and deteriorating public services and slows economic growth.  Based on the Palestinian Authority (PA) Bureau of the Census and Statistics, about 10% of Palestinian households still have no access to running water -- this represents about 123 localities, villages and communities.  Health facilities have degraded rapidly since 2000 and there is a continuous need for rehabilitation of hospitals and clinics and construction of new facilities.  Almost 45% of the road network in the West Bank is in poor or failed condition.  Furthermore, the PA needs about 50 schools (1000 classrooms) in the West Bank every year just to accommodate the increase in student population.  This situation has developed over many years of economic and political stagnation, rapid population growth, lack of proper maintenance and inadequate investment.  Most affected are marginalized Palestinians living in remote and rural communities.  _x000D_
_x000D_
Faced with aging infrastructure and public demand for better services, the PA has struggled to allocate sufficient resources to fully support the maintenance of existing infrastructure.  With the current economic crisis, the PAÂ’s revenues have been reduced to the point where funding for even minimal levels of infrastructure upkeep, repair, or expansion, is extremely difficult.  Nonetheless, the PA recognizes the need to address such infrastructure deficiencies immediately.   _x000D_
_x000D_
The Community Infrastructure Development Program would respond to small to medium scale infrastructure needs identified by the PA and the USAID/West Bank and Gaza Mission to support improved physical infrastructure.  Activities considered under this program will include, but not be limited to, the construction and renovation of schools and kindergartens; upgrade of vocational education schools facilities; rehabilitation and development of youth/women and recreational centers; rehabilitation and development of roads, sidewalks and public parks; and upgrading and renovation of NGO/private health facilities._x000D_
_x000D_
OBJECTIVE_x000D_
_x000D_
The objectives of the Community Infrastructure Development Program are to:_x000D_
_x000D_
Provide basic multi-sector infrastructure packages to remote communities in order to raise their standard of living;_x000D_
_x000D_
Support requests to increase the impact of USAID-funded programs in health, democracy and governance, education and the private sector by addressing underlying infrastructure needs which may be limiting the impact of those programs; and_x000D_
_x000D_
To the full extent practicable, provide employment opportunities to Palestinian communities, enhance local government capacity to respond to urgent infrastructure needs, and encourage community participation and empowerment in the planning, design, construction, and maintenance of public infrastructure.  _x000D_
</t>
  </si>
  <si>
    <t>Community Livelihoods Project in Yemen</t>
  </si>
  <si>
    <t>Others (see text field entitled "Additional Information on Eligibility" for clarification) Full and Open</t>
  </si>
  <si>
    <t xml:space="preserve">In the near future, USAID/Yemen intends to announce a full and open competition to implement the MissionÂ’s Community Livelihoods Project (CLP) subject to the availability of funds.  This integrated, flexible, multi-sectoral initiative will serve as the flagship project for the MissionÂ’s implementation of the 2010-2012 USAID/Yemen Strategy.  CLP is not a traditional development initiative, but it will rely heavily on tried and proven as well as innovative tools transition and development environments.  The project is intended to mitigate the drivers of instability in some of YemenÂ’s most difficult areas through the facilitation and implementation of quality government service delivery, job creation, responsive local governance, and active civic participation.  Rapidly responding to community-based initiatives to demonstrate USAIDÂ’s and the Government of YemenÂ’s commitment to underserved communities will be a hallmark of this project.  Youth under 25 years old, representing 75% of YemenÂ’s population, will be a particularly important demographic group throughout implementation.  Activities will quickly and effectively mitigate critical threats to stability in Yemen by building trust and relationships between communities with historically difficult relations with Yemeni authorities and the citizens in targeted areas.  This project will be expected to build on and complement ongoing activities during the transition phase between the existing portfolio of USAID/Yemen projects and this flagship initiative.  Very close coordination and collaboration with the MissionÂ’s future National Governance Project (NGP) will be extremely important during the implementation of the CLP.   The implementer also will partner with and make extensive use of local, Yemeni organizations during the implementation of the project.  The implementer also will coordinate with USAIDÂ’s future Monitoring and Evaluation Project to help ensure that program results are tracked against stability measures.USAID/YemenÂ’s 2010-2012 Strategy will be released when this solicitation is released for bid.  USAID anticipates an award for a base period of three years with the potential for follow-on activities dependent on performance and availability of funding.  Subject to the availability of funds, the estimated budget for the three year base period is approximately $65 million.Please note that the Mission staff will be unable to entertain meetings or respond to queries with prospective implementers at this stage.  For further information, please check the web site www.grants.gov in the near future.  </t>
  </si>
  <si>
    <t>National Governance Project in Yemen</t>
  </si>
  <si>
    <t xml:space="preserve">In the near future, USAID/Yemen intends to announce a full and open competition to implement the MissionÂ’s future National Governance Project (NGP) subject to the availability of funds.  This integrated, multi-sectoral program will be technically complementary to USAID/YemenÂ’s future flagship project, the Community Livelihoods Project (CLP).  NGP will be a key part of the MissionÂ’s implementation program under the 2010-2012 USAID/Yemen Strategy.  NGP is intended to facilitate more equitable socio-economic development by strengthening public policies and institutions that will contribute to mitigating the drivers of instability in Yemen.  A more equitable, representative, transparent, responsive, and reliable Yemeni government that meets the needs of its most vulnerable citizens is one way to help achieve USAIDÂ’s objectives.  As the needs in Yemen are great, the implementer will focus on initiatives that directly satisfy the needs identified in USAIDÂ’s strategy, that are supported by the Republic of Yemen GovernmentÂ’s (ROYG) or that would require relatively little effort to garner support, and that will have the biggest strategic impact for the resources expended.  Activities will quickly and effectively mitigate critical threats to stability in Yemen by reestablishing trust, respect, and, in some communities, legitimacy for the Government of Yemen.  Youth will be a particularly important demographic group throughout implementation.  The implementer will make particular effort to complement the efforts of USAIDÂ’s future CLP community-based interventions as a way to improve conditions in YemenÂ’s underserved, vulnerable communities.  The implementer also will partner with and make extensive use of local, Yemeni organizations during the implementation of the project.  The implementer also will coordinate with USAIDÂ’s future Monitoring and Evaluation Project to help ensure that program results are tracked against stability measures.USAID/YemenÂ’s 2010-2012 Strategy will be released when this solicitation is released for bid.  USAID anticipates an award for a base period of three years with the potential for follow-on activities dependent on performance and availability of funding.  Subject to the availability of funds, the estimated budget for the three year base period is approximately $20 million.Please note that the Mission staff will be unable to entertain meetings or respond to queries with prospective implementers at this stage.  For further information, please check the web site www.grants.gov in the near future.  </t>
  </si>
  <si>
    <t>Supplemental Opportunity for SBIR/STTR Memberships in I/UCRCs</t>
  </si>
  <si>
    <t>NSF invites supplemental requests for Small Business Innovation Research and Small Business Technology Transfer (SBIR/STTR) grantees to join an Industry/University Cooperative Research Center (I/UCRC). The supplements are intended to accelerate the innovation process by partnering industry-relevant academic research with commercialization focused small business research. The supplements will enable small businesses to purchase annual memberships in I/UCRCs; thus opening the doors to the benefits of the centers  collaborative research endeavors, which are directed to the needs of specific industries. Please see the  Related URL  section for additional information about this opportunity.</t>
  </si>
  <si>
    <t>Office of Elementary   Secondary Education; Overview Information: Race to the Top Fund (ARRA)  CFDA 84.395</t>
  </si>
  <si>
    <t>Others (see text field entitled "Additional Information on Eligibility" for clarification) States. As defined by Section 14013 of the American Recovery and Reinvestment Act (ARRA), the term   means each of the 50 States, the District of Columbia, and the Commonwealth of Puerto Rico. Awards are made to States (as required by Section 14006(a)(2) of the ARRA). States that receive a Race to the Top grant must use at least 50 percent of the award to provide subgrants to local educational agencies (LEAs), including public charter schools identified as LEAs under State law, based upon LEAs' relative shares of funding under Part A of Title I of the Elementary and Secondary Education Act of 1965, as amended.</t>
  </si>
  <si>
    <t>The Race to the Top is a $4.35 billion competitive grant program designed to encourage and reward States that are creating the conditions for education innovation and reform and implementing ambitious plans in four core education reform areas:Â• Adopting internationally-benchmarked standards and assessments that prepare students for success in college and the workplace; Â• Recruiting, developing, retaining, and rewarding effective teachers and principals; Â• Building data systems that measure student success and inform teachers and principals how they can improve their practices; and Â• Turning around lowest-performing schoolsThe overarching goals are to:Â• Drive substantial gains in student achievementÂ• Improve high school graduation rates and prepare students for success in college and careersÂ• Close achievement gapsThe Department plans to make Race to the Top grants in two phases. States that are ready to apply may do so in Phase 1, which will open in late 2009. States that need more time may apply in Phase 2, which will open in spring 2010. States that apply in Phase 1 but are not awarded grants may reapply for funding in Phase 2, together with States that are applying for the first time in Phase 2. Phase 1 grantees may not apply for additional funding in Phase 2. We will announce specific deadlines for both Phase 1 and Phase 2 in subsequent notice(s) inviting applications for funds under this program.</t>
  </si>
  <si>
    <t>Perception, Action   Cognition</t>
  </si>
  <si>
    <t>The aim of the PAC program is to support empirically grounded, theoretically engaged and methodologically sophisticated research in a wide range of topic areas related to human perceptual, motor, and cognitive processes and their interactions. The PAC program welcomes a wide range of perspectives and a variety of methodologies (including computational modeling if the goal is to expand explanatory theories of human perception, action, or cognition). PAC strongly encourages proposals that examine human behavior in realistic (or real-world) scenarios, with more inclusive subject populations than have been used historically. It is expected that knowledge gained from PAC-supported projects will have a clear and direct path towards benefitting society. PAC is open to co-review of proposals submitted to other programs both within the Social, Behavioral, and Economic Sciences Directorate and across other directorates.
Note: Proposals may be returned without review if the primary goal of the research is to understand (1) structure/function mappings between PAC processes and neural activity; (2) clinical populations per se; or (3) behavior of non-human animals without a clear and direct impact on our understanding of human perception, action or cognition. Before submitting a proposal, investigators are encouraged to email sbe-pac@nsf.gov with a one-page summary of the proposed research (modeled after the Project Summary page of a standard proposal and including a description of both Intellectual Merit and Broader Impacts) in order to confirm appropriateness of the work for the PAC program.
PIs are strongly encouraged to submit the Single Copy Document titled  List of Suggested Reviewers  with their full proposal. Sharing of data and other materials is an expectation for funded research. Please consult the NSFDear Colleague Letter: Effective Practices for Data for more details.
Interested in talking with a program director? Send a one-page description of the proposed research to sbe-pac@nsf.gov.</t>
  </si>
  <si>
    <t>Sociology</t>
  </si>
  <si>
    <t>The Sociology Program supports basic research on all forms of human social organization  societies, institutions, groups and demography  and processes of individual and institutional change. The program encourages theoretically focused empirical investigations aimed at improving the explanation of fundamental social processes. This includes research on organizations and organizational behavior, population dynamics, social movements, social groups, labor force participation, stratification and mobility, family, social networks, socialization, gender, race and the sociology of science and technology. The program supports both original data collection and secondary data analysis that use the full range of quantitative and qualitative methodological tools. Theoretically grounded projects that offer methodological innovations and improvements for data collection and analysis are also welcomed.
_x000D_
Principal Investigators should selectPD 98-1331in the program announcement/solicitation block on the proposal cover sheet for submission of regular research projects to the sociology program. Projects are evaluated using the two foundation-wide criteria, intellectual merit and broader impacts. In assessing the intellectual merit of proposed research, four components are key to securing support from the Sociology Program: (1) the issues investigated must be theoretically grounded; (2) the research should be based on empirical observation or be subject to empirical validation or illustration; (3) the research design must be appropriate to the questions asked; and (4) the proposed research must advance our understanding of social processes, structures and methods.
_x000D_
NSF also offers a number of specialized funding opportunities through its crosscutting and cross-directorate activities; some of the sociology-related opportunities are listed below.
_x000D_
Crosscutting Research   Training Opportunities:
_x000D_
_x000D_
ADVANCE: Increasing the Participation and Advancement of Women in Academic Science and Engineering Careers_x000D_
Faculty Early Career Development (CAREER) Program_x000D_
Graduate Research Fellowship Program (GRFP)_x000D_
Major Research Instrumentation (MRI) Program_x000D_
Mid-scale Research Infrastructure Programs_x000D_
SBE Postdoctoral Research Fellowships (SPRF)_x000D_
Research Experiences for Undergraduates (REU)_x000D_
Research at Undergraduate Institutions (RUI)_x000D_
Small Business Innovation Research (SBIR) Program_x000D_
_x000D_
To get information about these programs and others, please visit thecross-cutting and NSF-wide active funding opportunitiessearch page.
_x000D_
NSF's mission calls for the broadening of opportunities for and expanding participation of groups, institutions and geographic regions that are underrepresented in STEM disciplines, which is essential to the health and vitality of science and engineering. NSF is committed to this principle of diversity and deems it central to the programs, projects and activities it considers and supports.
_x000D_
NSF is also committed to public access to publications and data, unless there are countervailing interests that prohibit or limit public access to data, including matters of personally identifiable information of research participants, privacy or other issues of vulnerability such as economic, social or other security interests, etc.). SeePublic Access to Results of NSF-Funded ResearchandData Management for NSF SBE Directorate Proposals and Awards for more information.</t>
  </si>
  <si>
    <t>Linguistics</t>
  </si>
  <si>
    <t>The Linguistics Program supports basic science in the domain of human language, encompassing investigations of the grammatical properties of individual human languages, and of natural language in general. Research areas include syntax, semantics, morphology, phonetics and phonology.
The program encourages projects that are interdisciplinary in methodological or theoretical perspective, and that address questions that cross disciplinary boundaries, such as (but not limited to):
What are the psychological processes involved in the production, perception, and comprehension of language?
What are the computational properties of language and/or the language processor that make fluent production, incremental comprehension or rapid learning possible?
How do the acoustic and physiological properties of speech inform our theories of natural language and/or language processing?
What role does human neurobiology play in shaping the various grammatical properties of language?
How does language develop in natural learning contexts across the life-span?
What social and cultural factors underlie language variation and change?
Because NSF's mandate is to support basic research, the Linguistics Program does not fund research that takes as its primary goal improved clinical practice or applied policy, nor does it support work to develop or assess pedagogical methods or tools for language instruction.
The Linguistics Program accepts proposals for a variety of project types: research proposals from scholars with PhDs or equivalent degrees, proposals for Doctoral Dissertation Research Improvement (LING-DDRI) awards, and CAREER proposals. We will also consider proposals for conferences. Funding requests for conference support should be submitted in accordance with the Conference Proposals section of Chapter II of NSF's Proposal   Award Policies   Procedures Guide (PAPPG).
NSF's Division of Behavioral and Cognitive Sciences (BCS), in partnership with the National Endowment for the Humanities and in collaboration with programs in other NSF Directorates, supports efforts to develop and advance knowledge and infrastructure that will enable the analysis of languages that are both understudied and at risk of falling out of use. In recognition of the critical relevance of these languages to understanding the range and limits of human linguistic and cultural variation, BCS accepts research and dissertation proposals in response to solicitations NSF Dynamic Language Infrastructure - NEH Documenting Endangered Languages (DLI-DEL) and Dynamic Language Infrastructure - Doctoral Dissertation Research Improvement Grants (DLI-DDRI).
For more information about Multidisciplinary Research and Training Opportunities, please visit the SBE Office of Multidisciplinary Activities web site.</t>
  </si>
  <si>
    <t>Ocean Technology and Interdisciplinary Coordination</t>
  </si>
  <si>
    <t>The Oceanographic Technology and Interdisciplinary Coordination (OTIC) Program supports a broad range of research and technology development activities. Unsolicited proposals are accepted for instrumentation development that has broad applicability to ocean science research projects and that enhance observational, experimental or analytical capabilities of the ocean science research community. Specific announcements for funding opportunities are made for additional projects involving Improvements in Facilities, Communications, and Equipment at Biological Field Stations and Marine Laboratories (FSML) and the National Ocean Partnership Program.</t>
  </si>
  <si>
    <t>Alternative Development Program</t>
  </si>
  <si>
    <t xml:space="preserve">The United States Government, represented by the United States Agency for International Development (USAID), anticipates issuing a request for applications to implement an Alternative Development Program to increase licit and commercially viable agricultural-based alternatives for rural Afghans with the goal of significantly reducing and ultimately eradicating poppy production throughout Afghanistan.  Subject to the availability of funds, this competitively awarded five year Cooperative Agreement shall focus across those provinces within the north, east and west of Afghanistan where poppy eradication has been showing success, security issues are comparatively reduced and opportunities are most abundant. Examples of current priority provinces are Nangarhar, Nuristan, Kunar and Laghman, Badakhshan, and Takhar.   _x000D_
  _x000D_
The Agreement shall be outcomes based focused on results.  Applicants shall compete with proposed solutions that meet the requirements of the RFA and are tailored to an optimal technical / business approach.  The goal is to contribute to the creation of full and part-time and year-round and seasonal jobs, increased sales, strengthened associations, increased exports and improved access to services to promote licit economic growth and positive alternatives to the illicit economy for farmers and non-farmers alike.  The ApplicantÂ’s proposal shall directly link to the Afghanistan National Development Strategy (ANDS).  Applicants should consider revenue generation and cost recovery, anti-corruption, gender, Â“AfghanizationÂ” (increased use of Afghan staff and local firms and NGOs, local project ownership, local sourcing of other goods and services, etc.) and local governance as important cross-cutting issues that must be included in all programmatic elements_x000D_
 _x000D_
USAID will advise applicants of project objectives and desired outcome, but will not specify specific requirements or methodology. Applicants will have the opportunity to propose innovative, cost effective solutions for the Program. This solicitation will be accomplished using full and open competition and all interested parties are invited to apply. USAID especially encourages Afghan and/or regional contractors to consider this opportunity alone or in partnership with other organizations._x000D_
 _x000D_
Applicants are expected to provide a Program Description (PD), Performance Metrics &amp; Measurement Plan and, a Quality Assurance Surveillance Plan (QASP) as part of the application package. Prevailing regulations do not allow Applicants to propose monetary incentives; however, Applicants may propose other innovative approaches to create incentives for program success. _x000D_
</t>
  </si>
  <si>
    <t>Southeast Region Flex Funds</t>
  </si>
  <si>
    <t>DOI-FWS-REG4</t>
  </si>
  <si>
    <t>Region 4</t>
  </si>
  <si>
    <t xml:space="preserve">Unrestricted (i.e., open to any type of entity above), subject to any clarification in text field entitled "Additional Information on Eligibility" Applicants should have a demonstrated knowledge and understanding of the biology and conservation needs of endangered, threatened, candidate, and species of conservation interest to the U.S. Fish and Wildlife Service in the southeastern U.S., Puerto Rico, and the U.S. Virgin Islands. </t>
  </si>
  <si>
    <t>The Endangered Species Program of the Southeast Region provides financial assistance on a competitive baiss to educators, researchers, non-federal agencies, private businesses, individuals and other partners interested in the conservation and recovery of endangered, threatened, candidate, and/or species of conservation interest.</t>
  </si>
  <si>
    <t xml:space="preserve">Developing Country Collaborations in Plant Genome Research (DCC-PGR) </t>
  </si>
  <si>
    <t xml:space="preserve">Unrestricted (i.e., open to any type of entity above), subject to any clarification in text field entitled "Additional Information on Eligibility" All currently active PGRP awardees are eligible to apply for a supplement under this Dear Colleague Letter. Scientists at institutions from </t>
  </si>
  <si>
    <t>This letter is to call your attention to a new activity that will support research collaboration between US scientists and scientists in developing countries as part of ongoing or new Plant Genome Research Program awards.  The Developing Country Collaborations in Plant Genome Research (DCC-PGR) is an addendum to the NSF Program Solicitation, NSF 04-510, Plant Genome Research Program (PGRP) (http://www.nsf.gov/pubsys/ods/getpub.cfm?nsf04510). The intent of DCC-PGR awards is to support collaborative research linking US researchers with partners from developing countries to solve problems of mutual interest in agriculture, energy and the environment, while placing US and international researchers at the center of a global network of scientific excellence. The long-term goal of these collaborative research efforts is a greater and sustained engagement with developing countries in plant biotechnology research. In order to realize the full potential of biotechnology for the developing world, the technology must target crops grown locally in the developing countries and the traits that are most relevant to the local farmers and consumers. At the same time, proposals should meet the broad goals of the PGRP described in the current Program Solicitation.  Of special interest are those research projects that build on prior PGRP investments and that tackle problems specific to crops grown in the developing world. A request for supplemental funding should be made under an existing PGRP award.  Support can also be requested within a proposal for a new or renewal PGRP award.  Proposed collaborative activities are encouraged that focus on research problems important to developing countries and that include scientist-to-scientist interactions potentially leading to long-term partnerships among participating laboratories. The exchange of ideas and people should be reciprocal and should be built on equal partnerships among U.S. scientists and scientists of developing nations.  Examples of activities to be supported would include, but not be limited to: joint research projects; and long-term (1 year) or short-term (1-3 months) exchange visits that are reciprocal exchanges of investigators and students between the US and developing countries. Collaborations should be developed that bring complementary sets of expertise to bear on problems of importance to the participants from developing countries, and that meet their identified needs.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</si>
</sst>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6"/>
      <color indexed="8"/>
      <name val="Calibri"/>
      <family val="2"/>
    </font>
    <font>
      <sz val="14"/>
      <color indexed="9"/>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56"/>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3">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
    <xf numFmtId="0" fontId="0" fillId="0" borderId="0" xfId="0"/>
    <xf numFmtId="0" fontId="18" fillId="0" borderId="10" xfId="0" applyFont="1" applyBorder="1" applyAlignment="1">
      <alignment horizontal="left" vertical="center"/>
    </xf>
    <xf numFmtId="44" fontId="18" fillId="0" borderId="10" xfId="1" applyFont="1" applyBorder="1" applyAlignment="1">
      <alignment horizontal="left" vertical="center"/>
    </xf>
    <xf numFmtId="0" fontId="19" fillId="33" borderId="10" xfId="0" applyFont="1" applyFill="1" applyBorder="1" applyAlignment="1">
      <alignment horizontal="left" vertical="center" wrapText="1"/>
    </xf>
    <xf numFmtId="44" fontId="19" fillId="33" borderId="10" xfId="1" applyFont="1" applyFill="1" applyBorder="1" applyAlignment="1">
      <alignment horizontal="left" vertic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10" xfId="0" applyBorder="1"/>
    <xf numFmtId="44" fontId="0" fillId="0" borderId="10" xfId="1" applyFont="1" applyBorder="1" applyAlignment="1">
      <alignment vertical="center" wrapText="1"/>
    </xf>
    <xf numFmtId="44" fontId="0" fillId="0" borderId="10" xfId="1" applyFont="1" applyBorder="1"/>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1" builtinId="4"/>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FD98D-2F85-4F95-9B7B-7E9D913975B1}">
  <dimension ref="A1:J978"/>
  <sheetViews>
    <sheetView tabSelected="1" workbookViewId="0">
      <selection activeCell="H3" sqref="H3"/>
    </sheetView>
  </sheetViews>
  <sheetFormatPr defaultRowHeight="14.4" x14ac:dyDescent="0.3"/>
  <cols>
    <col min="1" max="1" width="15.21875" style="7" customWidth="1"/>
    <col min="2" max="2" width="19.109375" style="7" customWidth="1"/>
    <col min="3" max="3" width="16" style="7" customWidth="1"/>
    <col min="4" max="4" width="17.5546875" style="7" customWidth="1"/>
    <col min="5" max="5" width="17.88671875" style="7" customWidth="1"/>
    <col min="6" max="6" width="21.33203125" style="9" customWidth="1"/>
    <col min="7" max="7" width="18.6640625" style="9" customWidth="1"/>
    <col min="8" max="8" width="14.21875" style="7" customWidth="1"/>
    <col min="9" max="10" width="47.6640625" style="7" customWidth="1"/>
    <col min="11" max="16384" width="8.88671875" style="7"/>
  </cols>
  <sheetData>
    <row r="1" spans="1:10" s="1" customFormat="1" ht="21" x14ac:dyDescent="0.3">
      <c r="A1" s="1" t="s">
        <v>400</v>
      </c>
      <c r="F1" s="2"/>
      <c r="G1" s="2"/>
    </row>
    <row r="2" spans="1:10" s="3" customFormat="1" ht="20.399999999999999" customHeight="1" x14ac:dyDescent="0.3">
      <c r="A2" s="3" t="s">
        <v>401</v>
      </c>
      <c r="B2" s="3" t="s">
        <v>402</v>
      </c>
      <c r="C2" s="3" t="s">
        <v>403</v>
      </c>
      <c r="D2" s="3" t="s">
        <v>404</v>
      </c>
      <c r="E2" s="3" t="s">
        <v>405</v>
      </c>
      <c r="F2" s="4" t="s">
        <v>406</v>
      </c>
      <c r="G2" s="4" t="s">
        <v>407</v>
      </c>
      <c r="H2" s="3" t="s">
        <v>408</v>
      </c>
      <c r="I2" s="3" t="s">
        <v>409</v>
      </c>
      <c r="J2" s="3" t="s">
        <v>410</v>
      </c>
    </row>
    <row r="3" spans="1:10" ht="244.8" x14ac:dyDescent="0.3">
      <c r="A3" s="5" t="str">
        <f>HYPERLINK("https://grants.gov/search-results-detail/355964","AC-08-20-24")</f>
        <v>AC-08-20-24</v>
      </c>
      <c r="B3" s="5" t="s">
        <v>1941</v>
      </c>
      <c r="C3" s="5" t="s">
        <v>1942</v>
      </c>
      <c r="D3" s="5" t="s">
        <v>1943</v>
      </c>
      <c r="E3" s="6">
        <v>45680</v>
      </c>
      <c r="F3" s="8" t="s">
        <v>8</v>
      </c>
      <c r="G3" s="8" t="s">
        <v>8</v>
      </c>
      <c r="H3" s="5"/>
      <c r="I3" s="5" t="s">
        <v>1944</v>
      </c>
      <c r="J3" s="5" t="s">
        <v>1945</v>
      </c>
    </row>
    <row r="4" spans="1:10" ht="409.6" x14ac:dyDescent="0.3">
      <c r="A4" s="5" t="str">
        <f>HYPERLINK("https://grants.gov/search-results-detail/350974","DHS-23-MT-029-000-99")</f>
        <v>DHS-23-MT-029-000-99</v>
      </c>
      <c r="B4" s="5" t="s">
        <v>2178</v>
      </c>
      <c r="C4" s="5" t="s">
        <v>1610</v>
      </c>
      <c r="D4" s="5" t="s">
        <v>1611</v>
      </c>
      <c r="E4" s="6">
        <v>45672</v>
      </c>
      <c r="F4" s="8" t="s">
        <v>8</v>
      </c>
      <c r="G4" s="8" t="s">
        <v>8</v>
      </c>
      <c r="H4" s="5"/>
      <c r="I4" s="5" t="s">
        <v>2179</v>
      </c>
      <c r="J4" s="5" t="s">
        <v>2180</v>
      </c>
    </row>
    <row r="5" spans="1:10" ht="316.8" x14ac:dyDescent="0.3">
      <c r="A5" s="5" t="str">
        <f>HYPERLINK("https://grants.gov/search-results-detail/356869","DHS-24-GPD-008-00-98")</f>
        <v>DHS-24-GPD-008-00-98</v>
      </c>
      <c r="B5" s="5" t="s">
        <v>1609</v>
      </c>
      <c r="C5" s="5" t="s">
        <v>1610</v>
      </c>
      <c r="D5" s="5" t="s">
        <v>1611</v>
      </c>
      <c r="E5" s="6">
        <v>45681</v>
      </c>
      <c r="F5" s="8">
        <v>210000000</v>
      </c>
      <c r="G5" s="8">
        <v>0</v>
      </c>
      <c r="H5" s="5">
        <v>56</v>
      </c>
      <c r="I5" s="5" t="s">
        <v>1612</v>
      </c>
      <c r="J5" s="5" t="s">
        <v>1613</v>
      </c>
    </row>
    <row r="6" spans="1:10" ht="409.6" x14ac:dyDescent="0.3">
      <c r="A6" s="5" t="str">
        <f>HYPERLINK("https://grants.gov/search-results-detail/334079","EDA-HDQ-RNTA-2021")</f>
        <v>EDA-HDQ-RNTA-2021</v>
      </c>
      <c r="B6" s="5" t="s">
        <v>2490</v>
      </c>
      <c r="C6" s="5" t="s">
        <v>2491</v>
      </c>
      <c r="D6" s="5" t="s">
        <v>2492</v>
      </c>
      <c r="E6" s="5"/>
      <c r="F6" s="8">
        <v>1500000</v>
      </c>
      <c r="G6" s="8">
        <v>1</v>
      </c>
      <c r="H6" s="5">
        <v>15</v>
      </c>
      <c r="I6" s="5" t="s">
        <v>2493</v>
      </c>
      <c r="J6" s="5" t="s">
        <v>2494</v>
      </c>
    </row>
    <row r="7" spans="1:10" ht="409.6" x14ac:dyDescent="0.3">
      <c r="A7" s="5" t="str">
        <f>HYPERLINK("https://grants.gov/search-results-detail/332138","EDA-PHI-TA-PRO-2021-2006851")</f>
        <v>EDA-PHI-TA-PRO-2021-2006851</v>
      </c>
      <c r="B7" s="5" t="s">
        <v>2508</v>
      </c>
      <c r="C7" s="5" t="s">
        <v>2491</v>
      </c>
      <c r="D7" s="5" t="s">
        <v>2492</v>
      </c>
      <c r="E7" s="5"/>
      <c r="F7" s="8">
        <v>300000</v>
      </c>
      <c r="G7" s="8">
        <v>0</v>
      </c>
      <c r="H7" s="5"/>
      <c r="I7" s="5" t="s">
        <v>2509</v>
      </c>
      <c r="J7" s="5" t="s">
        <v>2510</v>
      </c>
    </row>
    <row r="8" spans="1:10" ht="409.6" x14ac:dyDescent="0.3">
      <c r="A8" s="5" t="str">
        <f>HYPERLINK("https://grants.gov/search-results-detail/332052","EDA-ATL-TA-ATRO-2021-2006846")</f>
        <v>EDA-ATL-TA-ATRO-2021-2006846</v>
      </c>
      <c r="B8" s="5" t="s">
        <v>2511</v>
      </c>
      <c r="C8" s="5" t="s">
        <v>2491</v>
      </c>
      <c r="D8" s="5" t="s">
        <v>2492</v>
      </c>
      <c r="E8" s="5"/>
      <c r="F8" s="8">
        <v>300000</v>
      </c>
      <c r="G8" s="8">
        <v>0</v>
      </c>
      <c r="H8" s="5"/>
      <c r="I8" s="5" t="s">
        <v>2512</v>
      </c>
      <c r="J8" s="5" t="s">
        <v>2513</v>
      </c>
    </row>
    <row r="9" spans="1:10" ht="409.6" x14ac:dyDescent="0.3">
      <c r="A9" s="5" t="str">
        <f>HYPERLINK("https://grants.gov/search-results-detail/332137","EDA-AUS-TA-AURO-2021-2006848")</f>
        <v>EDA-AUS-TA-AURO-2021-2006848</v>
      </c>
      <c r="B9" s="5" t="s">
        <v>2514</v>
      </c>
      <c r="C9" s="5" t="s">
        <v>2491</v>
      </c>
      <c r="D9" s="5" t="s">
        <v>2492</v>
      </c>
      <c r="E9" s="5"/>
      <c r="F9" s="8">
        <v>300000</v>
      </c>
      <c r="G9" s="8">
        <v>0</v>
      </c>
      <c r="H9" s="5"/>
      <c r="I9" s="5" t="s">
        <v>2515</v>
      </c>
      <c r="J9" s="5" t="s">
        <v>2516</v>
      </c>
    </row>
    <row r="10" spans="1:10" ht="409.6" x14ac:dyDescent="0.3">
      <c r="A10" s="5" t="str">
        <f>HYPERLINK("https://grants.gov/search-results-detail/332126","EDA-DEN-TA-DRO-2021-2006850")</f>
        <v>EDA-DEN-TA-DRO-2021-2006850</v>
      </c>
      <c r="B10" s="5" t="s">
        <v>2517</v>
      </c>
      <c r="C10" s="5" t="s">
        <v>2491</v>
      </c>
      <c r="D10" s="5" t="s">
        <v>2492</v>
      </c>
      <c r="E10" s="5"/>
      <c r="F10" s="8">
        <v>300000</v>
      </c>
      <c r="G10" s="8">
        <v>0</v>
      </c>
      <c r="H10" s="5"/>
      <c r="I10" s="5" t="s">
        <v>2518</v>
      </c>
      <c r="J10" s="5" t="s">
        <v>2519</v>
      </c>
    </row>
    <row r="11" spans="1:10" ht="409.6" x14ac:dyDescent="0.3">
      <c r="A11" s="5" t="str">
        <f>HYPERLINK("https://grants.gov/search-results-detail/332127","EDA-SEA-TA-SRO-2021-2006853")</f>
        <v>EDA-SEA-TA-SRO-2021-2006853</v>
      </c>
      <c r="B11" s="5" t="s">
        <v>2520</v>
      </c>
      <c r="C11" s="5" t="s">
        <v>2491</v>
      </c>
      <c r="D11" s="5" t="s">
        <v>2492</v>
      </c>
      <c r="E11" s="5"/>
      <c r="F11" s="8">
        <v>300000</v>
      </c>
      <c r="G11" s="8">
        <v>0</v>
      </c>
      <c r="H11" s="5"/>
      <c r="I11" s="5" t="s">
        <v>2518</v>
      </c>
      <c r="J11" s="5" t="s">
        <v>2516</v>
      </c>
    </row>
    <row r="12" spans="1:10" ht="409.6" x14ac:dyDescent="0.3">
      <c r="A12" s="5" t="str">
        <f>HYPERLINK("https://grants.gov/search-results-detail/332125","EDA-CHI-TA-CRO-2021-2006849")</f>
        <v>EDA-CHI-TA-CRO-2021-2006849</v>
      </c>
      <c r="B12" s="5" t="s">
        <v>2521</v>
      </c>
      <c r="C12" s="5" t="s">
        <v>2491</v>
      </c>
      <c r="D12" s="5" t="s">
        <v>2492</v>
      </c>
      <c r="E12" s="5"/>
      <c r="F12" s="8">
        <v>300000</v>
      </c>
      <c r="G12" s="8">
        <v>0</v>
      </c>
      <c r="H12" s="5"/>
      <c r="I12" s="5" t="s">
        <v>2522</v>
      </c>
      <c r="J12" s="5" t="s">
        <v>2516</v>
      </c>
    </row>
    <row r="13" spans="1:10" ht="409.6" x14ac:dyDescent="0.3">
      <c r="A13" s="5" t="str">
        <f>HYPERLINK("https://grants.gov/search-results-detail/301960","EDA-CHI-TA-CRO-2018-2005548")</f>
        <v>EDA-CHI-TA-CRO-2018-2005548</v>
      </c>
      <c r="B13" s="5" t="s">
        <v>2690</v>
      </c>
      <c r="C13" s="5" t="s">
        <v>2491</v>
      </c>
      <c r="D13" s="5" t="s">
        <v>2492</v>
      </c>
      <c r="E13" s="5"/>
      <c r="F13" s="8">
        <v>300000</v>
      </c>
      <c r="G13" s="8">
        <v>0</v>
      </c>
      <c r="H13" s="5"/>
      <c r="I13" s="5" t="s">
        <v>2509</v>
      </c>
      <c r="J13" s="5" t="s">
        <v>2691</v>
      </c>
    </row>
    <row r="14" spans="1:10" ht="409.6" x14ac:dyDescent="0.3">
      <c r="A14" s="5" t="str">
        <f>HYPERLINK("https://grants.gov/search-results-detail/301962","EDA-SEA-TA-SRO-2018-2005551")</f>
        <v>EDA-SEA-TA-SRO-2018-2005551</v>
      </c>
      <c r="B14" s="5" t="s">
        <v>2692</v>
      </c>
      <c r="C14" s="5" t="s">
        <v>2491</v>
      </c>
      <c r="D14" s="5" t="s">
        <v>2492</v>
      </c>
      <c r="E14" s="5"/>
      <c r="F14" s="8">
        <v>300000</v>
      </c>
      <c r="G14" s="8">
        <v>0</v>
      </c>
      <c r="H14" s="5"/>
      <c r="I14" s="5" t="s">
        <v>2518</v>
      </c>
      <c r="J14" s="5" t="s">
        <v>2691</v>
      </c>
    </row>
    <row r="15" spans="1:10" ht="409.6" x14ac:dyDescent="0.3">
      <c r="A15" s="5" t="str">
        <f>HYPERLINK("https://grants.gov/search-results-detail/301958","EDA-ATL-TA-ATRO-2018-2005539")</f>
        <v>EDA-ATL-TA-ATRO-2018-2005539</v>
      </c>
      <c r="B15" s="5" t="s">
        <v>2693</v>
      </c>
      <c r="C15" s="5" t="s">
        <v>2491</v>
      </c>
      <c r="D15" s="5" t="s">
        <v>2492</v>
      </c>
      <c r="E15" s="5"/>
      <c r="F15" s="8">
        <v>300000</v>
      </c>
      <c r="G15" s="8">
        <v>0</v>
      </c>
      <c r="H15" s="5"/>
      <c r="I15" s="5" t="s">
        <v>2694</v>
      </c>
      <c r="J15" s="5" t="s">
        <v>2691</v>
      </c>
    </row>
    <row r="16" spans="1:10" ht="409.6" x14ac:dyDescent="0.3">
      <c r="A16" s="5" t="str">
        <f>HYPERLINK("https://grants.gov/search-results-detail/301959","EDA-AUS-PL-AURO-2018-2005546")</f>
        <v>EDA-AUS-PL-AURO-2018-2005546</v>
      </c>
      <c r="B16" s="5" t="s">
        <v>2695</v>
      </c>
      <c r="C16" s="5" t="s">
        <v>2491</v>
      </c>
      <c r="D16" s="5" t="s">
        <v>2492</v>
      </c>
      <c r="E16" s="5"/>
      <c r="F16" s="8">
        <v>300000</v>
      </c>
      <c r="G16" s="8">
        <v>0</v>
      </c>
      <c r="H16" s="5"/>
      <c r="I16" s="5" t="s">
        <v>2515</v>
      </c>
      <c r="J16" s="5" t="s">
        <v>2691</v>
      </c>
    </row>
    <row r="17" spans="1:10" ht="409.6" x14ac:dyDescent="0.3">
      <c r="A17" s="5" t="str">
        <f>HYPERLINK("https://grants.gov/search-results-detail/301936","EDA-PHI-TA-PRO-2018-2005550")</f>
        <v>EDA-PHI-TA-PRO-2018-2005550</v>
      </c>
      <c r="B17" s="5" t="s">
        <v>2696</v>
      </c>
      <c r="C17" s="5" t="s">
        <v>2491</v>
      </c>
      <c r="D17" s="5" t="s">
        <v>2492</v>
      </c>
      <c r="E17" s="5"/>
      <c r="F17" s="8">
        <v>300000</v>
      </c>
      <c r="G17" s="8">
        <v>0</v>
      </c>
      <c r="H17" s="5"/>
      <c r="I17" s="5" t="s">
        <v>2509</v>
      </c>
      <c r="J17" s="5" t="s">
        <v>2691</v>
      </c>
    </row>
    <row r="18" spans="1:10" ht="409.6" x14ac:dyDescent="0.3">
      <c r="A18" s="5" t="str">
        <f>HYPERLINK("https://grants.gov/search-results-detail/103313","NOAA-OAR-CPO-2012-2003041")</f>
        <v>NOAA-OAR-CPO-2012-2003041</v>
      </c>
      <c r="B18" s="5" t="s">
        <v>2836</v>
      </c>
      <c r="C18" s="5" t="s">
        <v>2491</v>
      </c>
      <c r="D18" s="5" t="s">
        <v>2492</v>
      </c>
      <c r="E18" s="5"/>
      <c r="F18" s="8" t="s">
        <v>8</v>
      </c>
      <c r="G18" s="8" t="s">
        <v>8</v>
      </c>
      <c r="H18" s="5">
        <v>60</v>
      </c>
      <c r="I18" s="5" t="s">
        <v>2837</v>
      </c>
      <c r="J18" s="5" t="s">
        <v>2838</v>
      </c>
    </row>
    <row r="19" spans="1:10" ht="409.6" x14ac:dyDescent="0.3">
      <c r="A19" s="5" t="str">
        <f>HYPERLINK("https://grants.gov/search-results-detail/356613","NOAA-NOS-OCM-2025-28205")</f>
        <v>NOAA-NOS-OCM-2025-28205</v>
      </c>
      <c r="B19" s="5" t="s">
        <v>1831</v>
      </c>
      <c r="C19" s="5" t="s">
        <v>92</v>
      </c>
      <c r="D19" s="5" t="s">
        <v>93</v>
      </c>
      <c r="E19" s="6">
        <v>45674</v>
      </c>
      <c r="F19" s="8">
        <v>250000</v>
      </c>
      <c r="G19" s="8">
        <v>50000</v>
      </c>
      <c r="H19" s="5">
        <v>10</v>
      </c>
      <c r="I19" s="5" t="s">
        <v>1832</v>
      </c>
      <c r="J19" s="5" t="s">
        <v>1833</v>
      </c>
    </row>
    <row r="20" spans="1:10" ht="409.6" x14ac:dyDescent="0.3">
      <c r="A20" s="5" t="str">
        <f>HYPERLINK("https://grants.gov/search-results-detail/355988","NOAA-OAR-CPO-2025-27756")</f>
        <v>NOAA-OAR-CPO-2025-27756</v>
      </c>
      <c r="B20" s="5" t="s">
        <v>1958</v>
      </c>
      <c r="C20" s="5" t="s">
        <v>92</v>
      </c>
      <c r="D20" s="5" t="s">
        <v>93</v>
      </c>
      <c r="E20" s="6">
        <v>45674</v>
      </c>
      <c r="F20" s="8">
        <v>750000</v>
      </c>
      <c r="G20" s="8">
        <v>525000</v>
      </c>
      <c r="H20" s="5"/>
      <c r="I20" s="5" t="s">
        <v>1959</v>
      </c>
      <c r="J20" s="5" t="s">
        <v>1960</v>
      </c>
    </row>
    <row r="21" spans="1:10" ht="409.6" x14ac:dyDescent="0.3">
      <c r="A21" s="5" t="str">
        <f>HYPERLINK("https://grants.gov/search-results-detail/355986","NOAA-OAR-CPO-2025-27999")</f>
        <v>NOAA-OAR-CPO-2025-27999</v>
      </c>
      <c r="B21" s="5" t="s">
        <v>1961</v>
      </c>
      <c r="C21" s="5" t="s">
        <v>92</v>
      </c>
      <c r="D21" s="5" t="s">
        <v>93</v>
      </c>
      <c r="E21" s="6">
        <v>45674</v>
      </c>
      <c r="F21" s="8">
        <v>750000</v>
      </c>
      <c r="G21" s="8">
        <v>525000</v>
      </c>
      <c r="H21" s="5"/>
      <c r="I21" s="5" t="s">
        <v>1959</v>
      </c>
      <c r="J21" s="5" t="s">
        <v>1960</v>
      </c>
    </row>
    <row r="22" spans="1:10" ht="409.6" x14ac:dyDescent="0.3">
      <c r="A22" s="5" t="str">
        <f>HYPERLINK("https://grants.gov/search-results-detail/356666","NOAA-NOS-NCCOS-2025-28604")</f>
        <v>NOAA-NOS-NCCOS-2025-28604</v>
      </c>
      <c r="B22" s="5" t="s">
        <v>1785</v>
      </c>
      <c r="C22" s="5" t="s">
        <v>92</v>
      </c>
      <c r="D22" s="5" t="s">
        <v>93</v>
      </c>
      <c r="E22" s="6">
        <v>45680</v>
      </c>
      <c r="F22" s="8">
        <v>2000000</v>
      </c>
      <c r="G22" s="8">
        <v>500000</v>
      </c>
      <c r="H22" s="5"/>
      <c r="I22" s="5" t="s">
        <v>1786</v>
      </c>
      <c r="J22" s="5" t="s">
        <v>1787</v>
      </c>
    </row>
    <row r="23" spans="1:10" ht="409.6" x14ac:dyDescent="0.3">
      <c r="A23" s="5" t="str">
        <f>HYPERLINK("https://grants.gov/search-results-detail/356843","NOAA-OAR-SG-2025-28993")</f>
        <v>NOAA-OAR-SG-2025-28993</v>
      </c>
      <c r="B23" s="5" t="s">
        <v>1642</v>
      </c>
      <c r="C23" s="5" t="s">
        <v>92</v>
      </c>
      <c r="D23" s="5" t="s">
        <v>93</v>
      </c>
      <c r="E23" s="6">
        <v>45686</v>
      </c>
      <c r="F23" s="8">
        <v>500000</v>
      </c>
      <c r="G23" s="8">
        <v>100000</v>
      </c>
      <c r="H23" s="5"/>
      <c r="I23" s="5" t="s">
        <v>1643</v>
      </c>
      <c r="J23" s="5" t="s">
        <v>1644</v>
      </c>
    </row>
    <row r="24" spans="1:10" ht="409.6" x14ac:dyDescent="0.3">
      <c r="A24" s="5" t="str">
        <f>HYPERLINK("https://grants.gov/search-results-detail/356816","NOAA-NOS-ONMS-2025-28878")</f>
        <v>NOAA-NOS-ONMS-2025-28878</v>
      </c>
      <c r="B24" s="5" t="s">
        <v>1679</v>
      </c>
      <c r="C24" s="5" t="s">
        <v>92</v>
      </c>
      <c r="D24" s="5" t="s">
        <v>93</v>
      </c>
      <c r="E24" s="6">
        <v>45688</v>
      </c>
      <c r="F24" s="8">
        <v>150000</v>
      </c>
      <c r="G24" s="8">
        <v>50000</v>
      </c>
      <c r="H24" s="5"/>
      <c r="I24" s="5" t="s">
        <v>1680</v>
      </c>
      <c r="J24" s="5" t="s">
        <v>1681</v>
      </c>
    </row>
    <row r="25" spans="1:10" ht="409.6" x14ac:dyDescent="0.3">
      <c r="A25" s="5" t="str">
        <f>HYPERLINK("https://grants.gov/search-results-detail/356752","NOAA-OAR-OAP-2025-28702")</f>
        <v>NOAA-OAR-OAP-2025-28702</v>
      </c>
      <c r="B25" s="5" t="s">
        <v>1712</v>
      </c>
      <c r="C25" s="5" t="s">
        <v>92</v>
      </c>
      <c r="D25" s="5" t="s">
        <v>93</v>
      </c>
      <c r="E25" s="6">
        <v>45688</v>
      </c>
      <c r="F25" s="8">
        <v>250000</v>
      </c>
      <c r="G25" s="8">
        <v>100000</v>
      </c>
      <c r="H25" s="5"/>
      <c r="I25" s="5" t="s">
        <v>1713</v>
      </c>
      <c r="J25" s="5" t="s">
        <v>1714</v>
      </c>
    </row>
    <row r="26" spans="1:10" ht="409.6" x14ac:dyDescent="0.3">
      <c r="A26" s="5" t="str">
        <f>HYPERLINK("https://grants.gov/search-results-detail/356750","NOAA-NOS-OCM-2025-28920")</f>
        <v>NOAA-NOS-OCM-2025-28920</v>
      </c>
      <c r="B26" s="5" t="s">
        <v>1723</v>
      </c>
      <c r="C26" s="5" t="s">
        <v>92</v>
      </c>
      <c r="D26" s="5" t="s">
        <v>93</v>
      </c>
      <c r="E26" s="6">
        <v>45688</v>
      </c>
      <c r="F26" s="8">
        <v>4500000</v>
      </c>
      <c r="G26" s="8">
        <v>4500000</v>
      </c>
      <c r="H26" s="5"/>
      <c r="I26" s="5" t="s">
        <v>1724</v>
      </c>
      <c r="J26" s="5" t="s">
        <v>1725</v>
      </c>
    </row>
    <row r="27" spans="1:10" ht="409.6" x14ac:dyDescent="0.3">
      <c r="A27" s="5" t="str">
        <f>HYPERLINK("https://grants.gov/search-results-detail/355606","NOAA-NOS-ORR-2025-25974")</f>
        <v>NOAA-NOS-ORR-2025-25974</v>
      </c>
      <c r="B27" s="5" t="s">
        <v>1969</v>
      </c>
      <c r="C27" s="5" t="s">
        <v>92</v>
      </c>
      <c r="D27" s="5" t="s">
        <v>93</v>
      </c>
      <c r="E27" s="6">
        <v>45688</v>
      </c>
      <c r="F27" s="8">
        <v>10000000</v>
      </c>
      <c r="G27" s="8">
        <v>1000000</v>
      </c>
      <c r="H27" s="5">
        <v>10</v>
      </c>
      <c r="I27" s="5" t="s">
        <v>1970</v>
      </c>
      <c r="J27" s="5" t="s">
        <v>1971</v>
      </c>
    </row>
    <row r="28" spans="1:10" ht="409.6" x14ac:dyDescent="0.3">
      <c r="A28" s="5" t="str">
        <f>HYPERLINK("https://grants.gov/search-results-detail/357317","NOAA-NOS-OCM-2025-29258")</f>
        <v>NOAA-NOS-OCM-2025-29258</v>
      </c>
      <c r="B28" s="5" t="s">
        <v>1351</v>
      </c>
      <c r="C28" s="5" t="s">
        <v>92</v>
      </c>
      <c r="D28" s="5" t="s">
        <v>93</v>
      </c>
      <c r="E28" s="6">
        <v>45695</v>
      </c>
      <c r="F28" s="8">
        <v>1700000</v>
      </c>
      <c r="G28" s="8">
        <v>425000</v>
      </c>
      <c r="H28" s="5"/>
      <c r="I28" s="5" t="s">
        <v>1352</v>
      </c>
      <c r="J28" s="5" t="s">
        <v>1353</v>
      </c>
    </row>
    <row r="29" spans="1:10" ht="409.6" x14ac:dyDescent="0.3">
      <c r="A29" s="5" t="str">
        <f>HYPERLINK("https://grants.gov/search-results-detail/355600","NOAA-NOS-ORR-2025-25572")</f>
        <v>NOAA-NOS-ORR-2025-25572</v>
      </c>
      <c r="B29" s="5" t="s">
        <v>1972</v>
      </c>
      <c r="C29" s="5" t="s">
        <v>92</v>
      </c>
      <c r="D29" s="5" t="s">
        <v>93</v>
      </c>
      <c r="E29" s="6">
        <v>45695</v>
      </c>
      <c r="F29" s="8">
        <v>1000000</v>
      </c>
      <c r="G29" s="8">
        <v>100000</v>
      </c>
      <c r="H29" s="5">
        <v>5</v>
      </c>
      <c r="I29" s="5" t="s">
        <v>1973</v>
      </c>
      <c r="J29" s="5" t="s">
        <v>1974</v>
      </c>
    </row>
    <row r="30" spans="1:10" ht="409.6" x14ac:dyDescent="0.3">
      <c r="A30" s="5" t="str">
        <f>HYPERLINK("https://grants.gov/search-results-detail/356899","NOAA-NMFS-HCPO-2025-29043")</f>
        <v>NOAA-NMFS-HCPO-2025-29043</v>
      </c>
      <c r="B30" s="5" t="s">
        <v>1583</v>
      </c>
      <c r="C30" s="5" t="s">
        <v>92</v>
      </c>
      <c r="D30" s="5" t="s">
        <v>93</v>
      </c>
      <c r="E30" s="6">
        <v>45698</v>
      </c>
      <c r="F30" s="8">
        <v>8000000</v>
      </c>
      <c r="G30" s="8">
        <v>750000</v>
      </c>
      <c r="H30" s="5">
        <v>25</v>
      </c>
      <c r="I30" s="5" t="s">
        <v>1584</v>
      </c>
      <c r="J30" s="5" t="s">
        <v>1585</v>
      </c>
    </row>
    <row r="31" spans="1:10" ht="409.6" x14ac:dyDescent="0.3">
      <c r="A31" s="5" t="str">
        <f>HYPERLINK("https://grants.gov/search-results-detail/356751","NOAA-OAR-SG-2025-28975")</f>
        <v>NOAA-OAR-SG-2025-28975</v>
      </c>
      <c r="B31" s="5" t="s">
        <v>1726</v>
      </c>
      <c r="C31" s="5" t="s">
        <v>92</v>
      </c>
      <c r="D31" s="5" t="s">
        <v>93</v>
      </c>
      <c r="E31" s="6">
        <v>45700</v>
      </c>
      <c r="F31" s="8">
        <v>1000000</v>
      </c>
      <c r="G31" s="8">
        <v>100000</v>
      </c>
      <c r="H31" s="5"/>
      <c r="I31" s="5" t="s">
        <v>1727</v>
      </c>
      <c r="J31" s="5" t="s">
        <v>1728</v>
      </c>
    </row>
    <row r="32" spans="1:10" ht="331.2" x14ac:dyDescent="0.3">
      <c r="A32" s="5" t="str">
        <f>HYPERLINK("https://grants.gov/search-results-detail/357156","NOAA-NMFS-PIR-2025-29385")</f>
        <v>NOAA-NMFS-PIR-2025-29385</v>
      </c>
      <c r="B32" s="5" t="s">
        <v>1394</v>
      </c>
      <c r="C32" s="5" t="s">
        <v>92</v>
      </c>
      <c r="D32" s="5" t="s">
        <v>93</v>
      </c>
      <c r="E32" s="6">
        <v>45705</v>
      </c>
      <c r="F32" s="8">
        <v>200000</v>
      </c>
      <c r="G32" s="8">
        <v>15000</v>
      </c>
      <c r="H32" s="5"/>
      <c r="I32" s="5" t="s">
        <v>1395</v>
      </c>
      <c r="J32" s="5" t="s">
        <v>1396</v>
      </c>
    </row>
    <row r="33" spans="1:10" ht="403.2" x14ac:dyDescent="0.3">
      <c r="A33" s="5" t="str">
        <f>HYPERLINK("https://grants.gov/search-results-detail/357926","NOAA-NMFS-OHC-2025-29484")</f>
        <v>NOAA-NMFS-OHC-2025-29484</v>
      </c>
      <c r="B33" s="5" t="s">
        <v>104</v>
      </c>
      <c r="C33" s="5" t="s">
        <v>92</v>
      </c>
      <c r="D33" s="5" t="s">
        <v>93</v>
      </c>
      <c r="E33" s="6">
        <v>45713</v>
      </c>
      <c r="F33" s="8">
        <v>300000</v>
      </c>
      <c r="G33" s="8">
        <v>125000</v>
      </c>
      <c r="H33" s="5"/>
      <c r="I33" s="5" t="s">
        <v>105</v>
      </c>
      <c r="J33" s="5" t="s">
        <v>106</v>
      </c>
    </row>
    <row r="34" spans="1:10" ht="409.6" x14ac:dyDescent="0.3">
      <c r="A34" s="5" t="str">
        <f>HYPERLINK("https://grants.gov/search-results-detail/357311","NOAA-OAR-SG-2025-29312")</f>
        <v>NOAA-OAR-SG-2025-29312</v>
      </c>
      <c r="B34" s="5" t="s">
        <v>1348</v>
      </c>
      <c r="C34" s="5" t="s">
        <v>92</v>
      </c>
      <c r="D34" s="5" t="s">
        <v>93</v>
      </c>
      <c r="E34" s="6">
        <v>45714</v>
      </c>
      <c r="F34" s="8">
        <v>250000</v>
      </c>
      <c r="G34" s="8">
        <v>100000</v>
      </c>
      <c r="H34" s="5"/>
      <c r="I34" s="5" t="s">
        <v>1349</v>
      </c>
      <c r="J34" s="5" t="s">
        <v>1350</v>
      </c>
    </row>
    <row r="35" spans="1:10" ht="144" x14ac:dyDescent="0.3">
      <c r="A35" s="5" t="str">
        <f>HYPERLINK("https://grants.gov/search-results-detail/357428","NOAA-NMFS-PIR-2025-29397")</f>
        <v>NOAA-NMFS-PIR-2025-29397</v>
      </c>
      <c r="B35" s="5" t="s">
        <v>1251</v>
      </c>
      <c r="C35" s="5" t="s">
        <v>92</v>
      </c>
      <c r="D35" s="5" t="s">
        <v>93</v>
      </c>
      <c r="E35" s="6">
        <v>45716</v>
      </c>
      <c r="F35" s="8">
        <v>15000</v>
      </c>
      <c r="G35" s="8">
        <v>10000</v>
      </c>
      <c r="H35" s="5"/>
      <c r="I35" s="5" t="s">
        <v>1252</v>
      </c>
      <c r="J35" s="5" t="s">
        <v>1253</v>
      </c>
    </row>
    <row r="36" spans="1:10" ht="409.6" x14ac:dyDescent="0.3">
      <c r="A36" s="5" t="str">
        <f>HYPERLINK("https://grants.gov/search-results-detail/357517","NOAA-NMFS-WCRO-2025-29229")</f>
        <v>NOAA-NMFS-WCRO-2025-29229</v>
      </c>
      <c r="B36" s="5" t="s">
        <v>1097</v>
      </c>
      <c r="C36" s="5" t="s">
        <v>92</v>
      </c>
      <c r="D36" s="5" t="s">
        <v>93</v>
      </c>
      <c r="E36" s="6">
        <v>45720</v>
      </c>
      <c r="F36" s="8">
        <v>25000000</v>
      </c>
      <c r="G36" s="8">
        <v>0</v>
      </c>
      <c r="H36" s="5"/>
      <c r="I36" s="5" t="s">
        <v>1098</v>
      </c>
      <c r="J36" s="5" t="s">
        <v>1099</v>
      </c>
    </row>
    <row r="37" spans="1:10" ht="388.8" x14ac:dyDescent="0.3">
      <c r="A37" s="5" t="str">
        <f>HYPERLINK("https://grants.gov/search-results-detail/356454","NOAA-OAR-OAP-2025-28235")</f>
        <v>NOAA-OAR-OAP-2025-28235</v>
      </c>
      <c r="B37" s="5" t="s">
        <v>1874</v>
      </c>
      <c r="C37" s="5" t="s">
        <v>92</v>
      </c>
      <c r="D37" s="5" t="s">
        <v>93</v>
      </c>
      <c r="E37" s="6">
        <v>45721</v>
      </c>
      <c r="F37" s="8">
        <v>400000</v>
      </c>
      <c r="G37" s="8">
        <v>100000</v>
      </c>
      <c r="H37" s="5"/>
      <c r="I37" s="5" t="s">
        <v>1875</v>
      </c>
      <c r="J37" s="5" t="s">
        <v>1876</v>
      </c>
    </row>
    <row r="38" spans="1:10" ht="409.6" x14ac:dyDescent="0.3">
      <c r="A38" s="5" t="str">
        <f>HYPERLINK("https://grants.gov/search-results-detail/357940","NOAA-NOS-ONMS-2025-29638")</f>
        <v>NOAA-NOS-ONMS-2025-29638</v>
      </c>
      <c r="B38" s="5" t="s">
        <v>91</v>
      </c>
      <c r="C38" s="5" t="s">
        <v>92</v>
      </c>
      <c r="D38" s="5" t="s">
        <v>93</v>
      </c>
      <c r="E38" s="6">
        <v>45723</v>
      </c>
      <c r="F38" s="8">
        <v>150000</v>
      </c>
      <c r="G38" s="8">
        <v>60000</v>
      </c>
      <c r="H38" s="5">
        <v>15</v>
      </c>
      <c r="I38" s="5" t="s">
        <v>94</v>
      </c>
      <c r="J38" s="5" t="s">
        <v>95</v>
      </c>
    </row>
    <row r="39" spans="1:10" ht="409.6" x14ac:dyDescent="0.3">
      <c r="A39" s="5" t="str">
        <f>HYPERLINK("https://grants.gov/search-results-detail/357167","NOAA-OAR-SG-2025-29114")</f>
        <v>NOAA-OAR-SG-2025-29114</v>
      </c>
      <c r="B39" s="5" t="s">
        <v>1431</v>
      </c>
      <c r="C39" s="5" t="s">
        <v>92</v>
      </c>
      <c r="D39" s="5" t="s">
        <v>93</v>
      </c>
      <c r="E39" s="6">
        <v>45729</v>
      </c>
      <c r="F39" s="8">
        <v>240120</v>
      </c>
      <c r="G39" s="8">
        <v>10000</v>
      </c>
      <c r="H39" s="5"/>
      <c r="I39" s="5" t="s">
        <v>1432</v>
      </c>
      <c r="J39" s="5" t="s">
        <v>1433</v>
      </c>
    </row>
    <row r="40" spans="1:10" ht="409.6" x14ac:dyDescent="0.3">
      <c r="A40" s="5" t="str">
        <f>HYPERLINK("https://grants.gov/search-results-detail/356917","NOAA-OAR-SG-2025-29019")</f>
        <v>NOAA-OAR-SG-2025-29019</v>
      </c>
      <c r="B40" s="5" t="s">
        <v>1580</v>
      </c>
      <c r="C40" s="5" t="s">
        <v>92</v>
      </c>
      <c r="D40" s="5" t="s">
        <v>93</v>
      </c>
      <c r="E40" s="6">
        <v>45735</v>
      </c>
      <c r="F40" s="8">
        <v>1000000</v>
      </c>
      <c r="G40" s="8">
        <v>100000</v>
      </c>
      <c r="H40" s="5"/>
      <c r="I40" s="5" t="s">
        <v>1581</v>
      </c>
      <c r="J40" s="5" t="s">
        <v>1582</v>
      </c>
    </row>
    <row r="41" spans="1:10" ht="409.6" x14ac:dyDescent="0.3">
      <c r="A41" s="5" t="str">
        <f>HYPERLINK("https://grants.gov/search-results-detail/357699","NOAA-OAR-SG-2025-29573")</f>
        <v>NOAA-OAR-SG-2025-29573</v>
      </c>
      <c r="B41" s="5" t="s">
        <v>854</v>
      </c>
      <c r="C41" s="5" t="s">
        <v>92</v>
      </c>
      <c r="D41" s="5" t="s">
        <v>93</v>
      </c>
      <c r="E41" s="6">
        <v>45742</v>
      </c>
      <c r="F41" s="8">
        <v>75000</v>
      </c>
      <c r="G41" s="8">
        <v>0</v>
      </c>
      <c r="H41" s="5">
        <v>10</v>
      </c>
      <c r="I41" s="5" t="s">
        <v>855</v>
      </c>
      <c r="J41" s="5" t="s">
        <v>856</v>
      </c>
    </row>
    <row r="42" spans="1:10" ht="409.6" x14ac:dyDescent="0.3">
      <c r="A42" s="5" t="str">
        <f>HYPERLINK("https://grants.gov/search-results-detail/357420","NOAA-OAR-SG-2025-29454")</f>
        <v>NOAA-OAR-SG-2025-29454</v>
      </c>
      <c r="B42" s="5" t="s">
        <v>1248</v>
      </c>
      <c r="C42" s="5" t="s">
        <v>92</v>
      </c>
      <c r="D42" s="5" t="s">
        <v>93</v>
      </c>
      <c r="E42" s="6">
        <v>45749</v>
      </c>
      <c r="F42" s="8">
        <v>200000</v>
      </c>
      <c r="G42" s="8">
        <v>160000</v>
      </c>
      <c r="H42" s="5"/>
      <c r="I42" s="5" t="s">
        <v>1249</v>
      </c>
      <c r="J42" s="5" t="s">
        <v>1250</v>
      </c>
    </row>
    <row r="43" spans="1:10" ht="409.6" x14ac:dyDescent="0.3">
      <c r="A43" s="5" t="str">
        <f>HYPERLINK("https://grants.gov/search-results-detail/356231","NOAA-NMFS-HCPO-2024-28122")</f>
        <v>NOAA-NMFS-HCPO-2024-28122</v>
      </c>
      <c r="B43" s="5" t="s">
        <v>1929</v>
      </c>
      <c r="C43" s="5" t="s">
        <v>92</v>
      </c>
      <c r="D43" s="5" t="s">
        <v>93</v>
      </c>
      <c r="E43" s="5"/>
      <c r="F43" s="8">
        <v>30000000</v>
      </c>
      <c r="G43" s="8">
        <v>250000</v>
      </c>
      <c r="H43" s="5"/>
      <c r="I43" s="5" t="s">
        <v>1930</v>
      </c>
      <c r="J43" s="5" t="s">
        <v>1931</v>
      </c>
    </row>
    <row r="44" spans="1:10" ht="409.6" x14ac:dyDescent="0.3">
      <c r="A44" s="5" t="str">
        <f>HYPERLINK("https://grants.gov/search-results-detail/347414","EDA-DISASTER-2023")</f>
        <v>EDA-DISASTER-2023</v>
      </c>
      <c r="B44" s="5" t="s">
        <v>2267</v>
      </c>
      <c r="C44" s="5" t="s">
        <v>2268</v>
      </c>
      <c r="D44" s="5" t="s">
        <v>2269</v>
      </c>
      <c r="E44" s="5"/>
      <c r="F44" s="8">
        <v>30000000</v>
      </c>
      <c r="G44" s="8">
        <v>0</v>
      </c>
      <c r="H44" s="5">
        <v>150</v>
      </c>
      <c r="I44" s="5" t="s">
        <v>2270</v>
      </c>
      <c r="J44" s="5" t="s">
        <v>2271</v>
      </c>
    </row>
    <row r="45" spans="1:10" ht="409.6" x14ac:dyDescent="0.3">
      <c r="A45" s="5" t="str">
        <f>HYPERLINK("https://grants.gov/search-results-detail/346815","PWEAA2023")</f>
        <v>PWEAA2023</v>
      </c>
      <c r="B45" s="5" t="s">
        <v>2300</v>
      </c>
      <c r="C45" s="5" t="s">
        <v>2268</v>
      </c>
      <c r="D45" s="5" t="s">
        <v>2269</v>
      </c>
      <c r="E45" s="5"/>
      <c r="F45" s="8">
        <v>30000000</v>
      </c>
      <c r="G45" s="8">
        <v>100000</v>
      </c>
      <c r="H45" s="5">
        <v>3000</v>
      </c>
      <c r="I45" s="5" t="s">
        <v>2301</v>
      </c>
      <c r="J45" s="5" t="s">
        <v>2302</v>
      </c>
    </row>
    <row r="46" spans="1:10" ht="115.2" x14ac:dyDescent="0.3">
      <c r="A46" s="5" t="str">
        <f>HYPERLINK("https://grants.gov/search-results-detail/358053","ITA-GMX-GTM-2025-00001")</f>
        <v>ITA-GMX-GTM-2025-00001</v>
      </c>
      <c r="B46" s="5" t="s">
        <v>560</v>
      </c>
      <c r="C46" s="5" t="s">
        <v>561</v>
      </c>
      <c r="D46" s="5" t="s">
        <v>562</v>
      </c>
      <c r="E46" s="6">
        <v>45722</v>
      </c>
      <c r="F46" s="8">
        <v>545000</v>
      </c>
      <c r="G46" s="8">
        <v>0</v>
      </c>
      <c r="H46" s="5">
        <v>1</v>
      </c>
      <c r="I46" s="5" t="s">
        <v>445</v>
      </c>
      <c r="J46" s="5" t="s">
        <v>563</v>
      </c>
    </row>
    <row r="47" spans="1:10" ht="172.8" x14ac:dyDescent="0.3">
      <c r="A47" s="5" t="str">
        <f>HYPERLINK("https://grants.gov/search-results-detail/356849","2025-NIST-PMGP-01")</f>
        <v>2025-NIST-PMGP-01</v>
      </c>
      <c r="B47" s="5" t="s">
        <v>1650</v>
      </c>
      <c r="C47" s="5" t="s">
        <v>1651</v>
      </c>
      <c r="D47" s="5" t="s">
        <v>1652</v>
      </c>
      <c r="E47" s="6">
        <v>45691</v>
      </c>
      <c r="F47" s="8" t="s">
        <v>8</v>
      </c>
      <c r="G47" s="8" t="s">
        <v>8</v>
      </c>
      <c r="H47" s="5">
        <v>5</v>
      </c>
      <c r="I47" s="5" t="s">
        <v>1653</v>
      </c>
      <c r="J47" s="5" t="s">
        <v>1654</v>
      </c>
    </row>
    <row r="48" spans="1:10" ht="230.4" x14ac:dyDescent="0.3">
      <c r="A48" s="5" t="str">
        <f>HYPERLINK("https://grants.gov/search-results-detail/330597","2021-NIST-MEP-CAP-01")</f>
        <v>2021-NIST-MEP-CAP-01</v>
      </c>
      <c r="B48" s="5" t="s">
        <v>2539</v>
      </c>
      <c r="C48" s="5" t="s">
        <v>1651</v>
      </c>
      <c r="D48" s="5" t="s">
        <v>1652</v>
      </c>
      <c r="E48" s="5"/>
      <c r="F48" s="8" t="s">
        <v>8</v>
      </c>
      <c r="G48" s="8" t="s">
        <v>8</v>
      </c>
      <c r="H48" s="5"/>
      <c r="I48" s="5" t="s">
        <v>2540</v>
      </c>
      <c r="J48" s="5" t="s">
        <v>2541</v>
      </c>
    </row>
    <row r="49" spans="1:10" ht="288" x14ac:dyDescent="0.3">
      <c r="A49" s="5" t="str">
        <f>HYPERLINK("https://grants.gov/search-results-detail/323740","2020-NIST-MEP-MDAP-01")</f>
        <v>2020-NIST-MEP-MDAP-01</v>
      </c>
      <c r="B49" s="5" t="s">
        <v>2610</v>
      </c>
      <c r="C49" s="5" t="s">
        <v>1651</v>
      </c>
      <c r="D49" s="5" t="s">
        <v>1652</v>
      </c>
      <c r="E49" s="5"/>
      <c r="F49" s="8" t="s">
        <v>8</v>
      </c>
      <c r="G49" s="8" t="s">
        <v>8</v>
      </c>
      <c r="H49" s="5"/>
      <c r="I49" s="5" t="s">
        <v>2611</v>
      </c>
      <c r="J49" s="5" t="s">
        <v>2612</v>
      </c>
    </row>
    <row r="50" spans="1:10" ht="244.8" x14ac:dyDescent="0.3">
      <c r="A50" s="5" t="str">
        <f>HYPERLINK("https://grants.gov/search-results-detail/357749","NTIA-PWSCIF-24-02")</f>
        <v>NTIA-PWSCIF-24-02</v>
      </c>
      <c r="B50" s="5" t="s">
        <v>343</v>
      </c>
      <c r="C50" s="5" t="s">
        <v>344</v>
      </c>
      <c r="D50" s="5" t="s">
        <v>345</v>
      </c>
      <c r="E50" s="6">
        <v>45733</v>
      </c>
      <c r="F50" s="8" t="s">
        <v>8</v>
      </c>
      <c r="G50" s="8" t="s">
        <v>8</v>
      </c>
      <c r="H50" s="5"/>
      <c r="I50" s="5" t="s">
        <v>346</v>
      </c>
      <c r="J50" s="5" t="s">
        <v>347</v>
      </c>
    </row>
    <row r="51" spans="1:10" ht="302.39999999999998" x14ac:dyDescent="0.3">
      <c r="A51" s="5" t="str">
        <f>HYPERLINK("https://grants.gov/search-results-detail/353292","NTIA-SDECGP-2024")</f>
        <v>NTIA-SDECGP-2024</v>
      </c>
      <c r="B51" s="5" t="s">
        <v>2052</v>
      </c>
      <c r="C51" s="5" t="s">
        <v>344</v>
      </c>
      <c r="D51" s="5" t="s">
        <v>345</v>
      </c>
      <c r="E51" s="5"/>
      <c r="F51" s="8" t="s">
        <v>8</v>
      </c>
      <c r="G51" s="8" t="s">
        <v>8</v>
      </c>
      <c r="H51" s="5"/>
      <c r="I51" s="5" t="s">
        <v>2053</v>
      </c>
      <c r="J51" s="5" t="s">
        <v>2054</v>
      </c>
    </row>
    <row r="52" spans="1:10" ht="409.6" x14ac:dyDescent="0.3">
      <c r="A52" s="5" t="str">
        <f>HYPERLINK("https://grants.gov/search-results-detail/356270","AFPMB-BAA-25-01")</f>
        <v>AFPMB-BAA-25-01</v>
      </c>
      <c r="B52" s="5" t="s">
        <v>1922</v>
      </c>
      <c r="C52" s="5" t="s">
        <v>1923</v>
      </c>
      <c r="D52" s="5" t="s">
        <v>1924</v>
      </c>
      <c r="E52" s="6">
        <v>45685</v>
      </c>
      <c r="F52" s="8">
        <v>975000</v>
      </c>
      <c r="G52" s="8">
        <v>0</v>
      </c>
      <c r="H52" s="5">
        <v>6</v>
      </c>
      <c r="I52" s="5" t="s">
        <v>13</v>
      </c>
      <c r="J52" s="5" t="s">
        <v>1925</v>
      </c>
    </row>
    <row r="53" spans="1:10" ht="409.6" x14ac:dyDescent="0.3">
      <c r="A53" s="5" t="str">
        <f>HYPERLINK("https://grants.gov/search-results-detail/357934","NOFOAFRLAFOSR20250001")</f>
        <v>NOFOAFRLAFOSR20250001</v>
      </c>
      <c r="B53" s="5" t="s">
        <v>69</v>
      </c>
      <c r="C53" s="5" t="s">
        <v>70</v>
      </c>
      <c r="D53" s="5" t="s">
        <v>71</v>
      </c>
      <c r="E53" s="6">
        <v>45714</v>
      </c>
      <c r="F53" s="8">
        <v>2250000</v>
      </c>
      <c r="G53" s="8">
        <v>600000</v>
      </c>
      <c r="H53" s="5">
        <v>5</v>
      </c>
      <c r="I53" s="5" t="s">
        <v>72</v>
      </c>
      <c r="J53" s="5" t="s">
        <v>73</v>
      </c>
    </row>
    <row r="54" spans="1:10" ht="230.4" x14ac:dyDescent="0.3">
      <c r="A54" s="5" t="str">
        <f>HYPERLINK("https://grants.gov/search-results-detail/345653","FA9550-23-S-0001")</f>
        <v>FA9550-23-S-0001</v>
      </c>
      <c r="B54" s="5" t="s">
        <v>2322</v>
      </c>
      <c r="C54" s="5" t="s">
        <v>70</v>
      </c>
      <c r="D54" s="5" t="s">
        <v>71</v>
      </c>
      <c r="E54" s="5"/>
      <c r="F54" s="8">
        <v>100000000</v>
      </c>
      <c r="G54" s="8">
        <v>3000</v>
      </c>
      <c r="H54" s="5">
        <v>999999</v>
      </c>
      <c r="I54" s="5" t="s">
        <v>2323</v>
      </c>
      <c r="J54" s="5" t="s">
        <v>2324</v>
      </c>
    </row>
    <row r="55" spans="1:10" ht="388.8" x14ac:dyDescent="0.3">
      <c r="A55" s="5" t="str">
        <f>HYPERLINK("https://grants.gov/search-results-detail/286437","BAA-AFRL-AFOSR-2016-0008")</f>
        <v>BAA-AFRL-AFOSR-2016-0008</v>
      </c>
      <c r="B55" s="5" t="s">
        <v>2739</v>
      </c>
      <c r="C55" s="5" t="s">
        <v>70</v>
      </c>
      <c r="D55" s="5" t="s">
        <v>71</v>
      </c>
      <c r="E55" s="5"/>
      <c r="F55" s="8">
        <v>1000000</v>
      </c>
      <c r="G55" s="8">
        <v>1</v>
      </c>
      <c r="H55" s="5">
        <v>200</v>
      </c>
      <c r="I55" s="5" t="s">
        <v>2740</v>
      </c>
      <c r="J55" s="5" t="s">
        <v>2741</v>
      </c>
    </row>
    <row r="56" spans="1:10" ht="316.8" x14ac:dyDescent="0.3">
      <c r="A56" s="5" t="str">
        <f>HYPERLINK("https://grants.gov/search-results-detail/310010","W911NF-19-S-0001")</f>
        <v>W911NF-19-S-0001</v>
      </c>
      <c r="B56" s="5" t="s">
        <v>2657</v>
      </c>
      <c r="C56" s="5" t="s">
        <v>1823</v>
      </c>
      <c r="D56" s="5" t="s">
        <v>1824</v>
      </c>
      <c r="E56" s="6">
        <v>45688</v>
      </c>
      <c r="F56" s="8">
        <v>0</v>
      </c>
      <c r="G56" s="8">
        <v>0</v>
      </c>
      <c r="H56" s="5"/>
      <c r="I56" s="5" t="s">
        <v>2658</v>
      </c>
      <c r="J56" s="5" t="s">
        <v>2659</v>
      </c>
    </row>
    <row r="57" spans="1:10" ht="409.6" x14ac:dyDescent="0.3">
      <c r="A57" s="5" t="str">
        <f>HYPERLINK("https://grants.gov/search-results-detail/324439","W911NF20S0003")</f>
        <v>W911NF20S0003</v>
      </c>
      <c r="B57" s="5" t="s">
        <v>2600</v>
      </c>
      <c r="C57" s="5" t="s">
        <v>1823</v>
      </c>
      <c r="D57" s="5" t="s">
        <v>1824</v>
      </c>
      <c r="E57" s="6">
        <v>45707</v>
      </c>
      <c r="F57" s="8" t="s">
        <v>8</v>
      </c>
      <c r="G57" s="8" t="s">
        <v>8</v>
      </c>
      <c r="H57" s="5"/>
      <c r="I57" s="5" t="s">
        <v>2601</v>
      </c>
      <c r="J57" s="5" t="s">
        <v>2602</v>
      </c>
    </row>
    <row r="58" spans="1:10" ht="409.6" x14ac:dyDescent="0.3">
      <c r="A58" s="5" t="str">
        <f>HYPERLINK("https://grants.gov/search-results-detail/325932","W911NF-20-S-0008")</f>
        <v>W911NF-20-S-0008</v>
      </c>
      <c r="B58" s="5" t="s">
        <v>2588</v>
      </c>
      <c r="C58" s="5" t="s">
        <v>1823</v>
      </c>
      <c r="D58" s="5" t="s">
        <v>1824</v>
      </c>
      <c r="E58" s="6">
        <v>45747</v>
      </c>
      <c r="F58" s="8" t="s">
        <v>8</v>
      </c>
      <c r="G58" s="8" t="s">
        <v>8</v>
      </c>
      <c r="H58" s="5"/>
      <c r="I58" s="5" t="s">
        <v>2589</v>
      </c>
      <c r="J58" s="5" t="s">
        <v>2590</v>
      </c>
    </row>
    <row r="59" spans="1:10" ht="409.6" x14ac:dyDescent="0.3">
      <c r="A59" s="5" t="str">
        <f>HYPERLINK("https://grants.gov/search-results-detail/356583","W911NF-25-S-0001")</f>
        <v>W911NF-25-S-0001</v>
      </c>
      <c r="B59" s="5" t="s">
        <v>1822</v>
      </c>
      <c r="C59" s="5" t="s">
        <v>1823</v>
      </c>
      <c r="D59" s="5" t="s">
        <v>1824</v>
      </c>
      <c r="E59" s="6">
        <v>45754</v>
      </c>
      <c r="F59" s="8">
        <v>500000</v>
      </c>
      <c r="G59" s="8" t="s">
        <v>8</v>
      </c>
      <c r="H59" s="5">
        <v>6</v>
      </c>
      <c r="I59" s="5" t="s">
        <v>1825</v>
      </c>
      <c r="J59" s="5" t="s">
        <v>1826</v>
      </c>
    </row>
    <row r="60" spans="1:10" ht="409.6" x14ac:dyDescent="0.3">
      <c r="A60" s="5" t="str">
        <f>HYPERLINK("https://grants.gov/search-results-detail/339728","W911NF-22-S-0011")</f>
        <v>W911NF-22-S-0011</v>
      </c>
      <c r="B60" s="5" t="s">
        <v>2428</v>
      </c>
      <c r="C60" s="5" t="s">
        <v>1823</v>
      </c>
      <c r="D60" s="5" t="s">
        <v>1824</v>
      </c>
      <c r="E60" s="5"/>
      <c r="F60" s="8">
        <v>2300000</v>
      </c>
      <c r="G60" s="8">
        <v>100000</v>
      </c>
      <c r="H60" s="5"/>
      <c r="I60" s="5" t="s">
        <v>2429</v>
      </c>
      <c r="J60" s="5" t="s">
        <v>2430</v>
      </c>
    </row>
    <row r="61" spans="1:10" ht="409.6" x14ac:dyDescent="0.3">
      <c r="A61" s="5" t="str">
        <f>HYPERLINK("https://grants.gov/search-results-detail/326841","W911NF-17-S-0003-SPECIALNOTICE-LC-CSAC")</f>
        <v>W911NF-17-S-0003-SPECIALNOTICE-LC-CSAC</v>
      </c>
      <c r="B61" s="5" t="s">
        <v>2580</v>
      </c>
      <c r="C61" s="5" t="s">
        <v>1823</v>
      </c>
      <c r="D61" s="5" t="s">
        <v>1824</v>
      </c>
      <c r="E61" s="5"/>
      <c r="F61" s="8" t="s">
        <v>8</v>
      </c>
      <c r="G61" s="8" t="s">
        <v>8</v>
      </c>
      <c r="H61" s="5"/>
      <c r="I61" s="5" t="s">
        <v>2581</v>
      </c>
      <c r="J61" s="5" t="s">
        <v>2582</v>
      </c>
    </row>
    <row r="62" spans="1:10" ht="72" x14ac:dyDescent="0.3">
      <c r="A62" s="5" t="str">
        <f>HYPERLINK("https://grants.gov/search-results-detail/357855","DOD2025APEXACCELERATORMAIN")</f>
        <v>DOD2025APEXACCELERATORMAIN</v>
      </c>
      <c r="B62" s="5" t="s">
        <v>283</v>
      </c>
      <c r="C62" s="5" t="s">
        <v>284</v>
      </c>
      <c r="D62" s="5" t="s">
        <v>285</v>
      </c>
      <c r="E62" s="6">
        <v>45705</v>
      </c>
      <c r="F62" s="8">
        <v>878444</v>
      </c>
      <c r="G62" s="8">
        <v>60000</v>
      </c>
      <c r="H62" s="5">
        <v>2</v>
      </c>
      <c r="I62" s="5" t="s">
        <v>733</v>
      </c>
      <c r="J62" s="5" t="s">
        <v>286</v>
      </c>
    </row>
    <row r="63" spans="1:10" ht="115.2" x14ac:dyDescent="0.3">
      <c r="A63" s="5" t="str">
        <f>HYPERLINK("https://grants.gov/search-results-detail/327285","W911QY20R0022")</f>
        <v>W911QY20R0022</v>
      </c>
      <c r="B63" s="5" t="s">
        <v>2569</v>
      </c>
      <c r="C63" s="5" t="s">
        <v>2570</v>
      </c>
      <c r="D63" s="5" t="s">
        <v>2571</v>
      </c>
      <c r="E63" s="6">
        <v>45716</v>
      </c>
      <c r="F63" s="8" t="s">
        <v>8</v>
      </c>
      <c r="G63" s="8" t="s">
        <v>8</v>
      </c>
      <c r="H63" s="5">
        <v>50</v>
      </c>
      <c r="I63" s="5" t="s">
        <v>2572</v>
      </c>
      <c r="J63" s="5" t="s">
        <v>2573</v>
      </c>
    </row>
    <row r="64" spans="1:10" ht="409.6" x14ac:dyDescent="0.3">
      <c r="A64" s="5" t="str">
        <f>HYPERLINK("https://grants.gov/search-results-detail/357472","W81EWF-25-SOI-0001")</f>
        <v>W81EWF-25-SOI-0001</v>
      </c>
      <c r="B64" s="5" t="s">
        <v>1218</v>
      </c>
      <c r="C64" s="5" t="s">
        <v>11</v>
      </c>
      <c r="D64" s="5" t="s">
        <v>12</v>
      </c>
      <c r="E64" s="6">
        <v>45688</v>
      </c>
      <c r="F64" s="8">
        <v>50000</v>
      </c>
      <c r="G64" s="8">
        <v>0</v>
      </c>
      <c r="H64" s="5">
        <v>1</v>
      </c>
      <c r="I64" s="5" t="s">
        <v>1219</v>
      </c>
      <c r="J64" s="5" t="s">
        <v>1220</v>
      </c>
    </row>
    <row r="65" spans="1:10" ht="230.4" x14ac:dyDescent="0.3">
      <c r="A65" s="5" t="str">
        <f>HYPERLINK("https://grants.gov/search-results-detail/357571","W81EWF-25-SOI-0002")</f>
        <v>W81EWF-25-SOI-0002</v>
      </c>
      <c r="B65" s="5" t="s">
        <v>1035</v>
      </c>
      <c r="C65" s="5" t="s">
        <v>11</v>
      </c>
      <c r="D65" s="5" t="s">
        <v>12</v>
      </c>
      <c r="E65" s="6">
        <v>45694</v>
      </c>
      <c r="F65" s="8">
        <v>300000</v>
      </c>
      <c r="G65" s="8">
        <v>0</v>
      </c>
      <c r="H65" s="5">
        <v>1</v>
      </c>
      <c r="I65" s="5" t="s">
        <v>1036</v>
      </c>
      <c r="J65" s="5" t="s">
        <v>1037</v>
      </c>
    </row>
    <row r="66" spans="1:10" ht="409.6" x14ac:dyDescent="0.3">
      <c r="A66" s="5" t="str">
        <f>HYPERLINK("https://grants.gov/search-results-detail/357958","W9126G252SOI2001")</f>
        <v>W9126G252SOI2001</v>
      </c>
      <c r="B66" s="5" t="s">
        <v>57</v>
      </c>
      <c r="C66" s="5" t="s">
        <v>58</v>
      </c>
      <c r="D66" s="5" t="s">
        <v>59</v>
      </c>
      <c r="E66" s="6">
        <v>45687</v>
      </c>
      <c r="F66" s="8">
        <v>1234018</v>
      </c>
      <c r="G66" s="8">
        <v>234154</v>
      </c>
      <c r="H66" s="5">
        <v>1</v>
      </c>
      <c r="I66" s="5" t="s">
        <v>60</v>
      </c>
      <c r="J66" s="5" t="s">
        <v>61</v>
      </c>
    </row>
    <row r="67" spans="1:10" ht="409.6" x14ac:dyDescent="0.3">
      <c r="A67" s="5" t="str">
        <f>HYPERLINK("https://grants.gov/search-results-detail/358017","W9126G252SOI2461")</f>
        <v>W9126G252SOI2461</v>
      </c>
      <c r="B67" s="5" t="s">
        <v>617</v>
      </c>
      <c r="C67" s="5" t="s">
        <v>58</v>
      </c>
      <c r="D67" s="5" t="s">
        <v>59</v>
      </c>
      <c r="E67" s="6">
        <v>45691</v>
      </c>
      <c r="F67" s="8">
        <v>1575000</v>
      </c>
      <c r="G67" s="8">
        <v>192000</v>
      </c>
      <c r="H67" s="5">
        <v>1</v>
      </c>
      <c r="I67" s="5" t="s">
        <v>618</v>
      </c>
      <c r="J67" s="5" t="s">
        <v>619</v>
      </c>
    </row>
    <row r="68" spans="1:10" ht="409.6" x14ac:dyDescent="0.3">
      <c r="A68" s="5" t="str">
        <f>HYPERLINK("https://grants.gov/search-results-detail/358019","W9126G252SOI2927")</f>
        <v>W9126G252SOI2927</v>
      </c>
      <c r="B68" s="5" t="s">
        <v>625</v>
      </c>
      <c r="C68" s="5" t="s">
        <v>58</v>
      </c>
      <c r="D68" s="5" t="s">
        <v>59</v>
      </c>
      <c r="E68" s="6">
        <v>45691</v>
      </c>
      <c r="F68" s="8">
        <v>5030235</v>
      </c>
      <c r="G68" s="8">
        <v>1111500</v>
      </c>
      <c r="H68" s="5">
        <v>1</v>
      </c>
      <c r="I68" s="5" t="s">
        <v>626</v>
      </c>
      <c r="J68" s="5" t="s">
        <v>627</v>
      </c>
    </row>
    <row r="69" spans="1:10" ht="230.4" x14ac:dyDescent="0.3">
      <c r="A69" s="5" t="str">
        <f>HYPERLINK("https://grants.gov/search-results-detail/356994","HR001125S0004")</f>
        <v>HR001125S0004</v>
      </c>
      <c r="B69" s="5" t="s">
        <v>1555</v>
      </c>
      <c r="C69" s="5" t="s">
        <v>1556</v>
      </c>
      <c r="D69" s="5" t="s">
        <v>1557</v>
      </c>
      <c r="E69" s="6">
        <v>45680</v>
      </c>
      <c r="F69" s="8" t="s">
        <v>8</v>
      </c>
      <c r="G69" s="8" t="s">
        <v>8</v>
      </c>
      <c r="H69" s="5"/>
      <c r="I69" s="5" t="s">
        <v>1558</v>
      </c>
      <c r="J69" s="5" t="s">
        <v>1559</v>
      </c>
    </row>
    <row r="70" spans="1:10" ht="201.6" x14ac:dyDescent="0.3">
      <c r="A70" s="5" t="str">
        <f>HYPERLINK("https://grants.gov/search-results-detail/356821","DARPARA2501")</f>
        <v>DARPARA2501</v>
      </c>
      <c r="B70" s="5" t="s">
        <v>1696</v>
      </c>
      <c r="C70" s="5" t="s">
        <v>1556</v>
      </c>
      <c r="D70" s="5" t="s">
        <v>1557</v>
      </c>
      <c r="E70" s="6">
        <v>45693</v>
      </c>
      <c r="F70" s="8" t="s">
        <v>8</v>
      </c>
      <c r="G70" s="8" t="s">
        <v>8</v>
      </c>
      <c r="H70" s="5"/>
      <c r="I70" s="5" t="s">
        <v>1558</v>
      </c>
      <c r="J70" s="5" t="s">
        <v>1697</v>
      </c>
    </row>
    <row r="71" spans="1:10" ht="187.2" x14ac:dyDescent="0.3">
      <c r="A71" s="5" t="str">
        <f>HYPERLINK("https://grants.gov/search-results-detail/354842","N0001424SBC09")</f>
        <v>N0001424SBC09</v>
      </c>
      <c r="B71" s="5" t="s">
        <v>2007</v>
      </c>
      <c r="C71" s="5" t="s">
        <v>1966</v>
      </c>
      <c r="D71" s="5" t="s">
        <v>1967</v>
      </c>
      <c r="E71" s="6">
        <v>45688</v>
      </c>
      <c r="F71" s="8" t="s">
        <v>8</v>
      </c>
      <c r="G71" s="8" t="s">
        <v>8</v>
      </c>
      <c r="H71" s="5"/>
      <c r="I71" s="5" t="s">
        <v>2008</v>
      </c>
      <c r="J71" s="5" t="s">
        <v>2009</v>
      </c>
    </row>
    <row r="72" spans="1:10" ht="409.6" x14ac:dyDescent="0.3">
      <c r="A72" s="5" t="str">
        <f>HYPERLINK("https://grants.gov/search-results-detail/355691","N0001424SF007")</f>
        <v>N0001424SF007</v>
      </c>
      <c r="B72" s="5" t="s">
        <v>1965</v>
      </c>
      <c r="C72" s="5" t="s">
        <v>1966</v>
      </c>
      <c r="D72" s="5" t="s">
        <v>1967</v>
      </c>
      <c r="E72" s="6">
        <v>45702</v>
      </c>
      <c r="F72" s="8">
        <v>3000000</v>
      </c>
      <c r="G72" s="8">
        <v>1000000</v>
      </c>
      <c r="H72" s="5">
        <v>10</v>
      </c>
      <c r="I72" s="5" t="s">
        <v>328</v>
      </c>
      <c r="J72" s="5" t="s">
        <v>1968</v>
      </c>
    </row>
    <row r="73" spans="1:10" ht="409.6" x14ac:dyDescent="0.3">
      <c r="A73" s="5" t="str">
        <f>HYPERLINK("https://grants.gov/search-results-detail/353296","N0001424SB002")</f>
        <v>N0001424SB002</v>
      </c>
      <c r="B73" s="5" t="s">
        <v>2055</v>
      </c>
      <c r="C73" s="5" t="s">
        <v>1966</v>
      </c>
      <c r="D73" s="5" t="s">
        <v>1967</v>
      </c>
      <c r="E73" s="6">
        <v>45747</v>
      </c>
      <c r="F73" s="8" t="s">
        <v>8</v>
      </c>
      <c r="G73" s="8" t="s">
        <v>8</v>
      </c>
      <c r="H73" s="5"/>
      <c r="I73" s="5" t="s">
        <v>2056</v>
      </c>
      <c r="J73" s="5" t="s">
        <v>2057</v>
      </c>
    </row>
    <row r="74" spans="1:10" ht="409.6" x14ac:dyDescent="0.3">
      <c r="A74" s="5" t="str">
        <f>HYPERLINK("https://grants.gov/search-results-detail/353447","N0001424SF005")</f>
        <v>N0001424SF005</v>
      </c>
      <c r="B74" s="5" t="s">
        <v>2046</v>
      </c>
      <c r="C74" s="5" t="s">
        <v>1966</v>
      </c>
      <c r="D74" s="5" t="s">
        <v>1967</v>
      </c>
      <c r="E74" s="6">
        <v>45751</v>
      </c>
      <c r="F74" s="8" t="s">
        <v>8</v>
      </c>
      <c r="G74" s="8" t="s">
        <v>8</v>
      </c>
      <c r="H74" s="5"/>
      <c r="I74" s="5" t="s">
        <v>2047</v>
      </c>
      <c r="J74" s="5" t="s">
        <v>2048</v>
      </c>
    </row>
    <row r="75" spans="1:10" ht="409.6" x14ac:dyDescent="0.3">
      <c r="A75" s="5" t="str">
        <f>HYPERLINK("https://grants.gov/search-results-detail/352741","N00173-24-S-BA01")</f>
        <v>N00173-24-S-BA01</v>
      </c>
      <c r="B75" s="5" t="s">
        <v>2087</v>
      </c>
      <c r="C75" s="5" t="s">
        <v>2088</v>
      </c>
      <c r="D75" s="5" t="s">
        <v>2089</v>
      </c>
      <c r="E75" s="6">
        <v>45716</v>
      </c>
      <c r="F75" s="8">
        <v>0</v>
      </c>
      <c r="G75" s="8">
        <v>0</v>
      </c>
      <c r="H75" s="5"/>
      <c r="I75" s="5" t="s">
        <v>13</v>
      </c>
      <c r="J75" s="5" t="s">
        <v>2090</v>
      </c>
    </row>
    <row r="76" spans="1:10" ht="86.4" x14ac:dyDescent="0.3">
      <c r="A76" s="5" t="str">
        <f>HYPERLINK("https://grants.gov/search-results-detail/292151","N00173-17-S-BA01")</f>
        <v>N00173-17-S-BA01</v>
      </c>
      <c r="B76" s="5" t="s">
        <v>2732</v>
      </c>
      <c r="C76" s="5" t="s">
        <v>2088</v>
      </c>
      <c r="D76" s="5" t="s">
        <v>2089</v>
      </c>
      <c r="E76" s="5"/>
      <c r="F76" s="8">
        <v>0</v>
      </c>
      <c r="G76" s="8">
        <v>0</v>
      </c>
      <c r="H76" s="5"/>
      <c r="I76" s="5" t="s">
        <v>13</v>
      </c>
      <c r="J76" s="5" t="s">
        <v>2733</v>
      </c>
    </row>
    <row r="77" spans="1:10" ht="409.6" x14ac:dyDescent="0.3">
      <c r="A77" s="5" t="str">
        <f>HYPERLINK("https://grants.gov/search-results-detail/352238","N0016424SNB35")</f>
        <v>N0016424SNB35</v>
      </c>
      <c r="B77" s="5" t="s">
        <v>2143</v>
      </c>
      <c r="C77" s="5" t="s">
        <v>2144</v>
      </c>
      <c r="D77" s="5" t="s">
        <v>2145</v>
      </c>
      <c r="E77" s="6">
        <v>45695</v>
      </c>
      <c r="F77" s="8" t="s">
        <v>8</v>
      </c>
      <c r="G77" s="8" t="s">
        <v>8</v>
      </c>
      <c r="H77" s="5"/>
      <c r="I77" s="5" t="s">
        <v>13</v>
      </c>
      <c r="J77" s="5" t="s">
        <v>2146</v>
      </c>
    </row>
    <row r="78" spans="1:10" ht="409.6" x14ac:dyDescent="0.3">
      <c r="A78" s="5" t="str">
        <f>HYPERLINK("https://grants.gov/search-results-detail/356602","NSWCCD-25-S-0001")</f>
        <v>NSWCCD-25-S-0001</v>
      </c>
      <c r="B78" s="5" t="s">
        <v>1827</v>
      </c>
      <c r="C78" s="5" t="s">
        <v>1828</v>
      </c>
      <c r="D78" s="5" t="s">
        <v>1829</v>
      </c>
      <c r="E78" s="6">
        <v>45716</v>
      </c>
      <c r="F78" s="8">
        <v>500000</v>
      </c>
      <c r="G78" s="8">
        <v>0</v>
      </c>
      <c r="H78" s="5"/>
      <c r="I78" s="5" t="s">
        <v>328</v>
      </c>
      <c r="J78" s="5" t="s">
        <v>1830</v>
      </c>
    </row>
    <row r="79" spans="1:10" ht="388.8" x14ac:dyDescent="0.3">
      <c r="A79" s="5" t="str">
        <f>HYPERLINK("https://grants.gov/search-results-detail/330175","FA7000-21-S-0001")</f>
        <v>FA7000-21-S-0001</v>
      </c>
      <c r="B79" s="5" t="s">
        <v>2548</v>
      </c>
      <c r="C79" s="5" t="s">
        <v>2549</v>
      </c>
      <c r="D79" s="5" t="s">
        <v>2550</v>
      </c>
      <c r="E79" s="5"/>
      <c r="F79" s="8">
        <v>99000000</v>
      </c>
      <c r="G79" s="8">
        <v>0</v>
      </c>
      <c r="H79" s="5"/>
      <c r="I79" s="5" t="s">
        <v>2551</v>
      </c>
      <c r="J79" s="5" t="s">
        <v>2552</v>
      </c>
    </row>
    <row r="80" spans="1:10" ht="409.6" x14ac:dyDescent="0.3">
      <c r="A80" s="5" t="str">
        <f>HYPERLINK("https://grants.gov/search-results-detail/357839","HQ003425NFOEASD04")</f>
        <v>HQ003425NFOEASD04</v>
      </c>
      <c r="B80" s="5" t="s">
        <v>219</v>
      </c>
      <c r="C80" s="5" t="s">
        <v>220</v>
      </c>
      <c r="D80" s="5" t="s">
        <v>221</v>
      </c>
      <c r="E80" s="6">
        <v>45678</v>
      </c>
      <c r="F80" s="8">
        <v>40000000</v>
      </c>
      <c r="G80" s="8">
        <v>0</v>
      </c>
      <c r="H80" s="5">
        <v>1</v>
      </c>
      <c r="I80" s="5" t="s">
        <v>222</v>
      </c>
      <c r="J80" s="5" t="s">
        <v>223</v>
      </c>
    </row>
    <row r="81" spans="1:10" ht="409.6" x14ac:dyDescent="0.3">
      <c r="A81" s="5" t="str">
        <f>HYPERLINK("https://grants.gov/search-results-detail/356694","HQ003425NFOEASD01")</f>
        <v>HQ003425NFOEASD01</v>
      </c>
      <c r="B81" s="5" t="s">
        <v>1754</v>
      </c>
      <c r="C81" s="5" t="s">
        <v>220</v>
      </c>
      <c r="D81" s="5" t="s">
        <v>221</v>
      </c>
      <c r="E81" s="6">
        <v>45716</v>
      </c>
      <c r="F81" s="8">
        <v>30000000</v>
      </c>
      <c r="G81" s="8">
        <v>1000000</v>
      </c>
      <c r="H81" s="5">
        <v>15</v>
      </c>
      <c r="I81" s="5" t="s">
        <v>1755</v>
      </c>
      <c r="J81" s="5" t="s">
        <v>1756</v>
      </c>
    </row>
    <row r="82" spans="1:10" ht="244.8" x14ac:dyDescent="0.3">
      <c r="A82" s="5" t="str">
        <f>HYPERLINK("https://grants.gov/search-results-detail/356731","DE-FOA-0003485")</f>
        <v>DE-FOA-0003485</v>
      </c>
      <c r="B82" s="5" t="s">
        <v>1736</v>
      </c>
      <c r="C82" s="5" t="s">
        <v>291</v>
      </c>
      <c r="D82" s="5" t="s">
        <v>292</v>
      </c>
      <c r="E82" s="6">
        <v>45674</v>
      </c>
      <c r="F82" s="8">
        <v>800000000</v>
      </c>
      <c r="G82" s="8">
        <v>1000000</v>
      </c>
      <c r="H82" s="5">
        <v>0</v>
      </c>
      <c r="I82" s="5" t="s">
        <v>1737</v>
      </c>
      <c r="J82" s="5" t="s">
        <v>1738</v>
      </c>
    </row>
    <row r="83" spans="1:10" ht="409.6" x14ac:dyDescent="0.3">
      <c r="A83" s="5" t="str">
        <f>HYPERLINK("https://grants.gov/search-results-detail/356577","DE-FOA-0003442")</f>
        <v>DE-FOA-0003442</v>
      </c>
      <c r="B83" s="5" t="s">
        <v>1845</v>
      </c>
      <c r="C83" s="5" t="s">
        <v>291</v>
      </c>
      <c r="D83" s="5" t="s">
        <v>292</v>
      </c>
      <c r="E83" s="6">
        <v>45688</v>
      </c>
      <c r="F83" s="8">
        <v>1400000000</v>
      </c>
      <c r="G83" s="8">
        <v>100000000</v>
      </c>
      <c r="H83" s="5">
        <v>0</v>
      </c>
      <c r="I83" s="5" t="s">
        <v>1846</v>
      </c>
      <c r="J83" s="5" t="s">
        <v>1847</v>
      </c>
    </row>
    <row r="84" spans="1:10" ht="230.4" x14ac:dyDescent="0.3">
      <c r="A84" s="5" t="str">
        <f>HYPERLINK("https://grants.gov/search-results-detail/356366","DE-FOA-0003399")</f>
        <v>DE-FOA-0003399</v>
      </c>
      <c r="B84" s="5" t="s">
        <v>1910</v>
      </c>
      <c r="C84" s="5" t="s">
        <v>291</v>
      </c>
      <c r="D84" s="5" t="s">
        <v>292</v>
      </c>
      <c r="E84" s="6">
        <v>45701</v>
      </c>
      <c r="F84" s="8">
        <v>20000000</v>
      </c>
      <c r="G84" s="8">
        <v>5000000</v>
      </c>
      <c r="H84" s="5">
        <v>0</v>
      </c>
      <c r="I84" s="5" t="s">
        <v>13</v>
      </c>
      <c r="J84" s="5" t="s">
        <v>1911</v>
      </c>
    </row>
    <row r="85" spans="1:10" ht="28.8" x14ac:dyDescent="0.3">
      <c r="A85" s="5" t="str">
        <f>HYPERLINK("https://grants.gov/search-results-detail/224533","FOA-ALL")</f>
        <v>FOA-ALL</v>
      </c>
      <c r="B85" s="5" t="s">
        <v>2804</v>
      </c>
      <c r="C85" s="5" t="s">
        <v>291</v>
      </c>
      <c r="D85" s="5" t="s">
        <v>292</v>
      </c>
      <c r="E85" s="5"/>
      <c r="F85" s="8">
        <v>0</v>
      </c>
      <c r="G85" s="8">
        <v>0</v>
      </c>
      <c r="H85" s="5">
        <v>0</v>
      </c>
      <c r="I85" s="5" t="s">
        <v>2805</v>
      </c>
      <c r="J85" s="5" t="s">
        <v>2806</v>
      </c>
    </row>
    <row r="86" spans="1:10" ht="409.6" x14ac:dyDescent="0.3">
      <c r="A86" s="5" t="str">
        <f>HYPERLINK("https://grants.gov/search-results-detail/357746","DE-FOA-0003534")</f>
        <v>DE-FOA-0003534</v>
      </c>
      <c r="B86" s="5" t="s">
        <v>379</v>
      </c>
      <c r="C86" s="5" t="s">
        <v>380</v>
      </c>
      <c r="D86" s="5" t="s">
        <v>381</v>
      </c>
      <c r="E86" s="6">
        <v>45672</v>
      </c>
      <c r="F86" s="8">
        <v>0</v>
      </c>
      <c r="G86" s="8">
        <v>0</v>
      </c>
      <c r="H86" s="5">
        <v>0</v>
      </c>
      <c r="I86" s="5" t="s">
        <v>382</v>
      </c>
      <c r="J86" s="5" t="s">
        <v>383</v>
      </c>
    </row>
    <row r="87" spans="1:10" ht="409.6" x14ac:dyDescent="0.3">
      <c r="A87" s="5" t="str">
        <f>HYPERLINK("https://grants.gov/search-results-detail/356884","DE-FOA-0003488")</f>
        <v>DE-FOA-0003488</v>
      </c>
      <c r="B87" s="5" t="s">
        <v>1597</v>
      </c>
      <c r="C87" s="5" t="s">
        <v>380</v>
      </c>
      <c r="D87" s="5" t="s">
        <v>381</v>
      </c>
      <c r="E87" s="6">
        <v>45695</v>
      </c>
      <c r="F87" s="8">
        <v>3000000</v>
      </c>
      <c r="G87" s="8">
        <v>500000</v>
      </c>
      <c r="H87" s="5">
        <v>0</v>
      </c>
      <c r="I87" s="5" t="s">
        <v>1598</v>
      </c>
      <c r="J87" s="5" t="s">
        <v>1599</v>
      </c>
    </row>
    <row r="88" spans="1:10" ht="409.6" x14ac:dyDescent="0.3">
      <c r="A88" s="5" t="str">
        <f>HYPERLINK("https://grants.gov/search-results-detail/356582","DE-FOA-0003362")</f>
        <v>DE-FOA-0003362</v>
      </c>
      <c r="B88" s="5" t="s">
        <v>1848</v>
      </c>
      <c r="C88" s="5" t="s">
        <v>136</v>
      </c>
      <c r="D88" s="5" t="s">
        <v>137</v>
      </c>
      <c r="E88" s="6">
        <v>45674</v>
      </c>
      <c r="F88" s="8">
        <v>500000</v>
      </c>
      <c r="G88" s="8">
        <v>200000</v>
      </c>
      <c r="H88" s="5">
        <v>6</v>
      </c>
      <c r="I88" s="5" t="s">
        <v>13</v>
      </c>
      <c r="J88" s="5" t="s">
        <v>1849</v>
      </c>
    </row>
    <row r="89" spans="1:10" ht="409.6" x14ac:dyDescent="0.3">
      <c r="A89" s="5" t="str">
        <f>HYPERLINK("https://grants.gov/search-results-detail/356574","DE-FOA-0003401")</f>
        <v>DE-FOA-0003401</v>
      </c>
      <c r="B89" s="5" t="s">
        <v>1839</v>
      </c>
      <c r="C89" s="5" t="s">
        <v>136</v>
      </c>
      <c r="D89" s="5" t="s">
        <v>137</v>
      </c>
      <c r="E89" s="6">
        <v>45680</v>
      </c>
      <c r="F89" s="8">
        <v>2500000</v>
      </c>
      <c r="G89" s="8">
        <v>100000</v>
      </c>
      <c r="H89" s="5">
        <v>40</v>
      </c>
      <c r="I89" s="5" t="s">
        <v>1840</v>
      </c>
      <c r="J89" s="5" t="s">
        <v>1841</v>
      </c>
    </row>
    <row r="90" spans="1:10" ht="409.6" x14ac:dyDescent="0.3">
      <c r="A90" s="5" t="str">
        <f>HYPERLINK("https://grants.gov/search-results-detail/356520","DE-FOA-0003415")</f>
        <v>DE-FOA-0003415</v>
      </c>
      <c r="B90" s="5" t="s">
        <v>1861</v>
      </c>
      <c r="C90" s="5" t="s">
        <v>136</v>
      </c>
      <c r="D90" s="5" t="s">
        <v>137</v>
      </c>
      <c r="E90" s="6">
        <v>45687</v>
      </c>
      <c r="F90" s="8">
        <v>25313000</v>
      </c>
      <c r="G90" s="8">
        <v>2410000</v>
      </c>
      <c r="H90" s="5">
        <v>17</v>
      </c>
      <c r="I90" s="5" t="s">
        <v>13</v>
      </c>
      <c r="J90" s="5" t="s">
        <v>1862</v>
      </c>
    </row>
    <row r="91" spans="1:10" ht="409.6" x14ac:dyDescent="0.3">
      <c r="A91" s="5" t="str">
        <f>HYPERLINK("https://grants.gov/search-results-detail/357732","DE-FOA-0003517")</f>
        <v>DE-FOA-0003517</v>
      </c>
      <c r="B91" s="5" t="s">
        <v>372</v>
      </c>
      <c r="C91" s="5" t="s">
        <v>136</v>
      </c>
      <c r="D91" s="5" t="s">
        <v>137</v>
      </c>
      <c r="E91" s="6">
        <v>45688</v>
      </c>
      <c r="F91" s="8">
        <v>1</v>
      </c>
      <c r="G91" s="8">
        <v>0</v>
      </c>
      <c r="H91" s="5">
        <v>0</v>
      </c>
      <c r="I91" s="5" t="s">
        <v>13</v>
      </c>
      <c r="J91" s="5" t="s">
        <v>373</v>
      </c>
    </row>
    <row r="92" spans="1:10" ht="409.6" x14ac:dyDescent="0.3">
      <c r="A92" s="5" t="str">
        <f>HYPERLINK("https://grants.gov/search-results-detail/356810","DE-FOA-0003439")</f>
        <v>DE-FOA-0003439</v>
      </c>
      <c r="B92" s="5" t="s">
        <v>1670</v>
      </c>
      <c r="C92" s="5" t="s">
        <v>136</v>
      </c>
      <c r="D92" s="5" t="s">
        <v>137</v>
      </c>
      <c r="E92" s="6">
        <v>45688</v>
      </c>
      <c r="F92" s="8">
        <v>10000000</v>
      </c>
      <c r="G92" s="8">
        <v>1000000</v>
      </c>
      <c r="H92" s="5">
        <v>22</v>
      </c>
      <c r="I92" s="5" t="s">
        <v>1671</v>
      </c>
      <c r="J92" s="5" t="s">
        <v>1672</v>
      </c>
    </row>
    <row r="93" spans="1:10" ht="409.6" x14ac:dyDescent="0.3">
      <c r="A93" s="5" t="str">
        <f>HYPERLINK("https://grants.gov/search-results-detail/356393","DE-FOA-0003371")</f>
        <v>DE-FOA-0003371</v>
      </c>
      <c r="B93" s="5" t="s">
        <v>1894</v>
      </c>
      <c r="C93" s="5" t="s">
        <v>136</v>
      </c>
      <c r="D93" s="5" t="s">
        <v>137</v>
      </c>
      <c r="E93" s="6">
        <v>45688</v>
      </c>
      <c r="F93" s="8">
        <v>3000000</v>
      </c>
      <c r="G93" s="8">
        <v>2000000</v>
      </c>
      <c r="H93" s="5">
        <v>12</v>
      </c>
      <c r="I93" s="5" t="s">
        <v>1895</v>
      </c>
      <c r="J93" s="5" t="s">
        <v>1896</v>
      </c>
    </row>
    <row r="94" spans="1:10" ht="409.6" x14ac:dyDescent="0.3">
      <c r="A94" s="5" t="str">
        <f>HYPERLINK("https://grants.gov/search-results-detail/356383","DE-FOA-0003438")</f>
        <v>DE-FOA-0003438</v>
      </c>
      <c r="B94" s="5" t="s">
        <v>1897</v>
      </c>
      <c r="C94" s="5" t="s">
        <v>136</v>
      </c>
      <c r="D94" s="5" t="s">
        <v>137</v>
      </c>
      <c r="E94" s="6">
        <v>45688</v>
      </c>
      <c r="F94" s="8">
        <v>10000000</v>
      </c>
      <c r="G94" s="8">
        <v>1000000</v>
      </c>
      <c r="H94" s="5">
        <v>20</v>
      </c>
      <c r="I94" s="5" t="s">
        <v>371</v>
      </c>
      <c r="J94" s="5" t="s">
        <v>1898</v>
      </c>
    </row>
    <row r="95" spans="1:10" ht="409.6" x14ac:dyDescent="0.3">
      <c r="A95" s="5" t="str">
        <f>HYPERLINK("https://grants.gov/search-results-detail/357675","DE-FOA-0003373")</f>
        <v>DE-FOA-0003373</v>
      </c>
      <c r="B95" s="5" t="s">
        <v>915</v>
      </c>
      <c r="C95" s="5" t="s">
        <v>136</v>
      </c>
      <c r="D95" s="5" t="s">
        <v>137</v>
      </c>
      <c r="E95" s="6">
        <v>45699</v>
      </c>
      <c r="F95" s="8">
        <v>8000000</v>
      </c>
      <c r="G95" s="8">
        <v>2000000</v>
      </c>
      <c r="H95" s="5">
        <v>7</v>
      </c>
      <c r="I95" s="5" t="s">
        <v>13</v>
      </c>
      <c r="J95" s="5" t="s">
        <v>916</v>
      </c>
    </row>
    <row r="96" spans="1:10" ht="409.6" x14ac:dyDescent="0.3">
      <c r="A96" s="5" t="str">
        <f>HYPERLINK("https://grants.gov/search-results-detail/357760","DE-FOA-0003535")</f>
        <v>DE-FOA-0003535</v>
      </c>
      <c r="B96" s="5" t="s">
        <v>348</v>
      </c>
      <c r="C96" s="5" t="s">
        <v>136</v>
      </c>
      <c r="D96" s="5" t="s">
        <v>137</v>
      </c>
      <c r="E96" s="6">
        <v>45716</v>
      </c>
      <c r="F96" s="8">
        <v>1</v>
      </c>
      <c r="G96" s="8">
        <v>0</v>
      </c>
      <c r="H96" s="5">
        <v>0</v>
      </c>
      <c r="I96" s="5" t="s">
        <v>13</v>
      </c>
      <c r="J96" s="5" t="s">
        <v>349</v>
      </c>
    </row>
    <row r="97" spans="1:10" ht="409.6" x14ac:dyDescent="0.3">
      <c r="A97" s="5" t="str">
        <f>HYPERLINK("https://grants.gov/search-results-detail/358139","DE-FOA-0003525")</f>
        <v>DE-FOA-0003525</v>
      </c>
      <c r="B97" s="5" t="s">
        <v>433</v>
      </c>
      <c r="C97" s="5" t="s">
        <v>136</v>
      </c>
      <c r="D97" s="5" t="s">
        <v>137</v>
      </c>
      <c r="E97" s="6">
        <v>45750</v>
      </c>
      <c r="F97" s="8">
        <v>15000000</v>
      </c>
      <c r="G97" s="8">
        <v>300000</v>
      </c>
      <c r="H97" s="5">
        <v>0</v>
      </c>
      <c r="I97" s="5" t="s">
        <v>434</v>
      </c>
      <c r="J97" s="5" t="s">
        <v>435</v>
      </c>
    </row>
    <row r="98" spans="1:10" ht="273.60000000000002" x14ac:dyDescent="0.3">
      <c r="A98" s="5" t="str">
        <f>HYPERLINK("https://grants.gov/search-results-detail/357232","DE-FOA-0002967")</f>
        <v>DE-FOA-0002967</v>
      </c>
      <c r="B98" s="5" t="s">
        <v>1429</v>
      </c>
      <c r="C98" s="5" t="s">
        <v>302</v>
      </c>
      <c r="D98" s="5" t="s">
        <v>303</v>
      </c>
      <c r="E98" s="6">
        <v>45688</v>
      </c>
      <c r="F98" s="8">
        <v>6000000</v>
      </c>
      <c r="G98" s="8">
        <v>500000</v>
      </c>
      <c r="H98" s="5">
        <v>0</v>
      </c>
      <c r="I98" s="5" t="s">
        <v>758</v>
      </c>
      <c r="J98" s="5" t="s">
        <v>1430</v>
      </c>
    </row>
    <row r="99" spans="1:10" ht="409.6" x14ac:dyDescent="0.3">
      <c r="A99" s="5" t="str">
        <f>HYPERLINK("https://grants.gov/search-results-detail/357260","DE-FOA-0003314")</f>
        <v>DE-FOA-0003314</v>
      </c>
      <c r="B99" s="5" t="s">
        <v>1381</v>
      </c>
      <c r="C99" s="5" t="s">
        <v>302</v>
      </c>
      <c r="D99" s="5" t="s">
        <v>303</v>
      </c>
      <c r="E99" s="6">
        <v>45700</v>
      </c>
      <c r="F99" s="8">
        <v>6000000</v>
      </c>
      <c r="G99" s="8">
        <v>0</v>
      </c>
      <c r="H99" s="5">
        <v>1</v>
      </c>
      <c r="I99" s="5" t="s">
        <v>328</v>
      </c>
      <c r="J99" s="5" t="s">
        <v>1382</v>
      </c>
    </row>
    <row r="100" spans="1:10" ht="172.8" x14ac:dyDescent="0.3">
      <c r="A100" s="5" t="str">
        <f>HYPERLINK("https://grants.gov/search-results-detail/357823","DE-FOA-0003487")</f>
        <v>DE-FOA-0003487</v>
      </c>
      <c r="B100" s="5" t="s">
        <v>301</v>
      </c>
      <c r="C100" s="5" t="s">
        <v>302</v>
      </c>
      <c r="D100" s="5" t="s">
        <v>303</v>
      </c>
      <c r="E100" s="6">
        <v>45728</v>
      </c>
      <c r="F100" s="8">
        <v>40000000</v>
      </c>
      <c r="G100" s="8">
        <v>0</v>
      </c>
      <c r="H100" s="5">
        <v>10</v>
      </c>
      <c r="I100" s="5" t="s">
        <v>533</v>
      </c>
      <c r="J100" s="5" t="s">
        <v>305</v>
      </c>
    </row>
    <row r="101" spans="1:10" ht="144" x14ac:dyDescent="0.3">
      <c r="A101" s="5" t="str">
        <f>HYPERLINK("https://grants.gov/search-results-detail/358100","DE-FOA-0003339")</f>
        <v>DE-FOA-0003339</v>
      </c>
      <c r="B101" s="5" t="s">
        <v>532</v>
      </c>
      <c r="C101" s="5" t="s">
        <v>302</v>
      </c>
      <c r="D101" s="5" t="s">
        <v>303</v>
      </c>
      <c r="E101" s="6">
        <v>45755</v>
      </c>
      <c r="F101" s="8">
        <v>8000000</v>
      </c>
      <c r="G101" s="8">
        <v>5000</v>
      </c>
      <c r="H101" s="5"/>
      <c r="I101" s="5" t="s">
        <v>533</v>
      </c>
      <c r="J101" s="5" t="s">
        <v>534</v>
      </c>
    </row>
    <row r="102" spans="1:10" ht="86.4" x14ac:dyDescent="0.3">
      <c r="A102" s="5" t="str">
        <f>HYPERLINK("https://grants.gov/search-results-detail/280970","DE-SOL-0008318")</f>
        <v>DE-SOL-0008318</v>
      </c>
      <c r="B102" s="5" t="s">
        <v>2747</v>
      </c>
      <c r="C102" s="5" t="s">
        <v>302</v>
      </c>
      <c r="D102" s="5" t="s">
        <v>303</v>
      </c>
      <c r="E102" s="5"/>
      <c r="F102" s="8">
        <v>0</v>
      </c>
      <c r="G102" s="8">
        <v>0</v>
      </c>
      <c r="H102" s="5">
        <v>0</v>
      </c>
      <c r="I102" s="5" t="s">
        <v>336</v>
      </c>
      <c r="J102" s="5" t="s">
        <v>2748</v>
      </c>
    </row>
    <row r="103" spans="1:10" ht="129.6" x14ac:dyDescent="0.3">
      <c r="A103" s="5" t="str">
        <f>HYPERLINK("https://grants.gov/search-results-detail/280932","DE-SOL-0008246")</f>
        <v>DE-SOL-0008246</v>
      </c>
      <c r="B103" s="5" t="s">
        <v>2749</v>
      </c>
      <c r="C103" s="5" t="s">
        <v>302</v>
      </c>
      <c r="D103" s="5" t="s">
        <v>303</v>
      </c>
      <c r="E103" s="5"/>
      <c r="F103" s="8">
        <v>0</v>
      </c>
      <c r="G103" s="8">
        <v>0</v>
      </c>
      <c r="H103" s="5">
        <v>0</v>
      </c>
      <c r="I103" s="5" t="s">
        <v>304</v>
      </c>
      <c r="J103" s="5" t="s">
        <v>2750</v>
      </c>
    </row>
    <row r="104" spans="1:10" ht="187.2" x14ac:dyDescent="0.3">
      <c r="A104" s="5" t="str">
        <f>HYPERLINK("https://grants.gov/search-results-detail/357122","DE-FOA-0003496")</f>
        <v>DE-FOA-0003496</v>
      </c>
      <c r="B104" s="5" t="s">
        <v>1484</v>
      </c>
      <c r="C104" s="5" t="s">
        <v>216</v>
      </c>
      <c r="D104" s="5" t="s">
        <v>217</v>
      </c>
      <c r="E104" s="6">
        <v>45674</v>
      </c>
      <c r="F104" s="8">
        <v>2</v>
      </c>
      <c r="G104" s="8">
        <v>1</v>
      </c>
      <c r="H104" s="5">
        <v>0</v>
      </c>
      <c r="I104" s="5" t="s">
        <v>1485</v>
      </c>
      <c r="J104" s="5" t="s">
        <v>1486</v>
      </c>
    </row>
    <row r="105" spans="1:10" ht="316.8" x14ac:dyDescent="0.3">
      <c r="A105" s="5" t="str">
        <f>HYPERLINK("https://grants.gov/search-results-detail/355391","DE-FOA-0003377")</f>
        <v>DE-FOA-0003377</v>
      </c>
      <c r="B105" s="5" t="s">
        <v>1989</v>
      </c>
      <c r="C105" s="5" t="s">
        <v>216</v>
      </c>
      <c r="D105" s="5" t="s">
        <v>217</v>
      </c>
      <c r="E105" s="6">
        <v>45688</v>
      </c>
      <c r="F105" s="8">
        <v>2</v>
      </c>
      <c r="G105" s="8">
        <v>1</v>
      </c>
      <c r="H105" s="5">
        <v>0</v>
      </c>
      <c r="I105" s="5" t="s">
        <v>13</v>
      </c>
      <c r="J105" s="5" t="s">
        <v>1990</v>
      </c>
    </row>
    <row r="106" spans="1:10" ht="172.8" x14ac:dyDescent="0.3">
      <c r="A106" s="5" t="str">
        <f>HYPERLINK("https://grants.gov/search-results-detail/357563","DE-FOA-0003497")</f>
        <v>DE-FOA-0003497</v>
      </c>
      <c r="B106" s="5" t="s">
        <v>1009</v>
      </c>
      <c r="C106" s="5" t="s">
        <v>216</v>
      </c>
      <c r="D106" s="5" t="s">
        <v>217</v>
      </c>
      <c r="E106" s="6">
        <v>45690</v>
      </c>
      <c r="F106" s="8">
        <v>275000</v>
      </c>
      <c r="G106" s="8">
        <v>1</v>
      </c>
      <c r="H106" s="5">
        <v>15</v>
      </c>
      <c r="I106" s="5" t="s">
        <v>1010</v>
      </c>
      <c r="J106" s="5" t="s">
        <v>1011</v>
      </c>
    </row>
    <row r="107" spans="1:10" ht="259.2" x14ac:dyDescent="0.3">
      <c r="A107" s="5" t="str">
        <f>HYPERLINK("https://grants.gov/search-results-detail/358122","DE-FOA-0003546")</f>
        <v>DE-FOA-0003546</v>
      </c>
      <c r="B107" s="5" t="s">
        <v>473</v>
      </c>
      <c r="C107" s="5" t="s">
        <v>216</v>
      </c>
      <c r="D107" s="5" t="s">
        <v>217</v>
      </c>
      <c r="E107" s="6">
        <v>45698</v>
      </c>
      <c r="F107" s="8">
        <v>725000000</v>
      </c>
      <c r="G107" s="8">
        <v>1</v>
      </c>
      <c r="H107" s="5">
        <v>0</v>
      </c>
      <c r="I107" s="5" t="s">
        <v>474</v>
      </c>
      <c r="J107" s="5" t="s">
        <v>475</v>
      </c>
    </row>
    <row r="108" spans="1:10" ht="316.8" x14ac:dyDescent="0.3">
      <c r="A108" s="5" t="str">
        <f>HYPERLINK("https://grants.gov/search-results-detail/343720","DE-FOA-0002730")</f>
        <v>DE-FOA-0002730</v>
      </c>
      <c r="B108" s="5" t="s">
        <v>2386</v>
      </c>
      <c r="C108" s="5" t="s">
        <v>216</v>
      </c>
      <c r="D108" s="5" t="s">
        <v>217</v>
      </c>
      <c r="E108" s="6">
        <v>45700</v>
      </c>
      <c r="F108" s="8">
        <v>3000000</v>
      </c>
      <c r="G108" s="8">
        <v>1</v>
      </c>
      <c r="H108" s="5">
        <v>30</v>
      </c>
      <c r="I108" s="5" t="s">
        <v>2387</v>
      </c>
      <c r="J108" s="5" t="s">
        <v>2388</v>
      </c>
    </row>
    <row r="109" spans="1:10" ht="129.6" x14ac:dyDescent="0.3">
      <c r="A109" s="5" t="str">
        <f>HYPERLINK("https://grants.gov/search-results-detail/357831","DE-FOA-0003501")</f>
        <v>DE-FOA-0003501</v>
      </c>
      <c r="B109" s="5" t="s">
        <v>215</v>
      </c>
      <c r="C109" s="5" t="s">
        <v>216</v>
      </c>
      <c r="D109" s="5" t="s">
        <v>217</v>
      </c>
      <c r="E109" s="6">
        <v>45706</v>
      </c>
      <c r="F109" s="8">
        <v>10000000</v>
      </c>
      <c r="G109" s="8">
        <v>1</v>
      </c>
      <c r="H109" s="5">
        <v>1</v>
      </c>
      <c r="I109" s="5" t="s">
        <v>13</v>
      </c>
      <c r="J109" s="5" t="s">
        <v>218</v>
      </c>
    </row>
    <row r="110" spans="1:10" ht="216" x14ac:dyDescent="0.3">
      <c r="A110" s="5" t="str">
        <f>HYPERLINK("https://grants.gov/search-results-detail/358108","DE-FOA-0003549")</f>
        <v>DE-FOA-0003549</v>
      </c>
      <c r="B110" s="5" t="s">
        <v>416</v>
      </c>
      <c r="C110" s="5" t="s">
        <v>216</v>
      </c>
      <c r="D110" s="5" t="s">
        <v>217</v>
      </c>
      <c r="E110" s="6">
        <v>45716</v>
      </c>
      <c r="F110" s="8">
        <v>2</v>
      </c>
      <c r="G110" s="8">
        <v>1</v>
      </c>
      <c r="H110" s="5">
        <v>0</v>
      </c>
      <c r="I110" s="5" t="s">
        <v>13</v>
      </c>
      <c r="J110" s="5" t="s">
        <v>417</v>
      </c>
    </row>
    <row r="111" spans="1:10" ht="216" x14ac:dyDescent="0.3">
      <c r="A111" s="5" t="str">
        <f>HYPERLINK("https://grants.gov/search-results-detail/357679","DE-FOA-0003396")</f>
        <v>DE-FOA-0003396</v>
      </c>
      <c r="B111" s="5" t="s">
        <v>878</v>
      </c>
      <c r="C111" s="5" t="s">
        <v>216</v>
      </c>
      <c r="D111" s="5" t="s">
        <v>217</v>
      </c>
      <c r="E111" s="6">
        <v>45716</v>
      </c>
      <c r="F111" s="8">
        <v>3250000</v>
      </c>
      <c r="G111" s="8">
        <v>1</v>
      </c>
      <c r="H111" s="5">
        <v>3</v>
      </c>
      <c r="I111" s="5" t="s">
        <v>879</v>
      </c>
      <c r="J111" s="5" t="s">
        <v>880</v>
      </c>
    </row>
    <row r="112" spans="1:10" ht="158.4" x14ac:dyDescent="0.3">
      <c r="A112" s="5" t="str">
        <f>HYPERLINK("https://grants.gov/search-results-detail/357592","DE-FOA-0003446")</f>
        <v>DE-FOA-0003446</v>
      </c>
      <c r="B112" s="5" t="s">
        <v>975</v>
      </c>
      <c r="C112" s="5" t="s">
        <v>216</v>
      </c>
      <c r="D112" s="5" t="s">
        <v>217</v>
      </c>
      <c r="E112" s="6">
        <v>45736</v>
      </c>
      <c r="F112" s="8">
        <v>1250000</v>
      </c>
      <c r="G112" s="8">
        <v>1</v>
      </c>
      <c r="H112" s="5">
        <v>5</v>
      </c>
      <c r="I112" s="5" t="s">
        <v>976</v>
      </c>
      <c r="J112" s="5" t="s">
        <v>977</v>
      </c>
    </row>
    <row r="113" spans="1:10" ht="409.6" x14ac:dyDescent="0.3">
      <c r="A113" s="5" t="str">
        <f>HYPERLINK("https://grants.gov/search-results-detail/357982","DE-FOA-0003437")</f>
        <v>DE-FOA-0003437</v>
      </c>
      <c r="B113" s="5" t="s">
        <v>665</v>
      </c>
      <c r="C113" s="5" t="s">
        <v>666</v>
      </c>
      <c r="D113" s="5" t="s">
        <v>667</v>
      </c>
      <c r="E113" s="6">
        <v>45751</v>
      </c>
      <c r="F113" s="8">
        <v>25000000</v>
      </c>
      <c r="G113" s="8" t="s">
        <v>8</v>
      </c>
      <c r="H113" s="5">
        <v>25</v>
      </c>
      <c r="I113" s="5" t="s">
        <v>668</v>
      </c>
      <c r="J113" s="5" t="s">
        <v>669</v>
      </c>
    </row>
    <row r="114" spans="1:10" ht="409.6" x14ac:dyDescent="0.3">
      <c r="A114" s="5" t="str">
        <f>HYPERLINK("https://grants.gov/search-results-detail/354421","OIA-BIL-2024")</f>
        <v>OIA-BIL-2024</v>
      </c>
      <c r="B114" s="5" t="s">
        <v>2025</v>
      </c>
      <c r="C114" s="5" t="s">
        <v>258</v>
      </c>
      <c r="D114" s="5" t="s">
        <v>259</v>
      </c>
      <c r="E114" s="6">
        <v>45687</v>
      </c>
      <c r="F114" s="8">
        <v>0</v>
      </c>
      <c r="G114" s="8">
        <v>0</v>
      </c>
      <c r="H114" s="5"/>
      <c r="I114" s="5" t="s">
        <v>2026</v>
      </c>
      <c r="J114" s="5" t="s">
        <v>2027</v>
      </c>
    </row>
    <row r="115" spans="1:10" ht="259.2" x14ac:dyDescent="0.3">
      <c r="A115" s="5" t="str">
        <f>HYPERLINK("https://grants.gov/search-results-detail/356820","OIA-TAP-2025")</f>
        <v>OIA-TAP-2025</v>
      </c>
      <c r="B115" s="5" t="s">
        <v>1687</v>
      </c>
      <c r="C115" s="5" t="s">
        <v>258</v>
      </c>
      <c r="D115" s="5" t="s">
        <v>259</v>
      </c>
      <c r="E115" s="6">
        <v>45728</v>
      </c>
      <c r="F115" s="8">
        <v>400000</v>
      </c>
      <c r="G115" s="8">
        <v>0</v>
      </c>
      <c r="H115" s="5">
        <v>70</v>
      </c>
      <c r="I115" s="5" t="s">
        <v>1688</v>
      </c>
      <c r="J115" s="5" t="s">
        <v>1689</v>
      </c>
    </row>
    <row r="116" spans="1:10" ht="316.8" x14ac:dyDescent="0.3">
      <c r="A116" s="5" t="str">
        <f>HYPERLINK("https://grants.gov/search-results-detail/356823","OIA-CRNR-2025")</f>
        <v>OIA-CRNR-2025</v>
      </c>
      <c r="B116" s="5" t="s">
        <v>1690</v>
      </c>
      <c r="C116" s="5" t="s">
        <v>258</v>
      </c>
      <c r="D116" s="5" t="s">
        <v>259</v>
      </c>
      <c r="E116" s="6">
        <v>45728</v>
      </c>
      <c r="F116" s="8">
        <v>300000</v>
      </c>
      <c r="G116" s="8">
        <v>0</v>
      </c>
      <c r="H116" s="5">
        <v>10</v>
      </c>
      <c r="I116" s="5" t="s">
        <v>1691</v>
      </c>
      <c r="J116" s="5" t="s">
        <v>1692</v>
      </c>
    </row>
    <row r="117" spans="1:10" ht="302.39999999999998" x14ac:dyDescent="0.3">
      <c r="A117" s="5" t="str">
        <f>HYPERLINK("https://grants.gov/search-results-detail/356822","OIA-MAP-2025")</f>
        <v>OIA-MAP-2025</v>
      </c>
      <c r="B117" s="5" t="s">
        <v>1693</v>
      </c>
      <c r="C117" s="5" t="s">
        <v>258</v>
      </c>
      <c r="D117" s="5" t="s">
        <v>259</v>
      </c>
      <c r="E117" s="6">
        <v>45728</v>
      </c>
      <c r="F117" s="8">
        <v>350000</v>
      </c>
      <c r="G117" s="8">
        <v>0</v>
      </c>
      <c r="H117" s="5">
        <v>20</v>
      </c>
      <c r="I117" s="5" t="s">
        <v>1694</v>
      </c>
      <c r="J117" s="5" t="s">
        <v>1695</v>
      </c>
    </row>
    <row r="118" spans="1:10" ht="115.2" x14ac:dyDescent="0.3">
      <c r="A118" s="5" t="str">
        <f>HYPERLINK("https://grants.gov/search-results-detail/357830","OIA-BTS-2025")</f>
        <v>OIA-BTS-2025</v>
      </c>
      <c r="B118" s="5" t="s">
        <v>257</v>
      </c>
      <c r="C118" s="5" t="s">
        <v>258</v>
      </c>
      <c r="D118" s="5" t="s">
        <v>259</v>
      </c>
      <c r="E118" s="6">
        <v>45756</v>
      </c>
      <c r="F118" s="8">
        <v>0</v>
      </c>
      <c r="G118" s="8">
        <v>0</v>
      </c>
      <c r="H118" s="5"/>
      <c r="I118" s="5" t="s">
        <v>260</v>
      </c>
      <c r="J118" s="5" t="s">
        <v>261</v>
      </c>
    </row>
    <row r="119" spans="1:10" ht="403.2" x14ac:dyDescent="0.3">
      <c r="A119" s="5" t="str">
        <f>HYPERLINK("https://grants.gov/search-results-detail/356758","BIA-TEDC-2025-01")</f>
        <v>BIA-TEDC-2025-01</v>
      </c>
      <c r="B119" s="5" t="s">
        <v>1707</v>
      </c>
      <c r="C119" s="5" t="s">
        <v>1708</v>
      </c>
      <c r="D119" s="5" t="s">
        <v>1709</v>
      </c>
      <c r="E119" s="6">
        <v>45673</v>
      </c>
      <c r="F119" s="8">
        <v>450000</v>
      </c>
      <c r="G119" s="8">
        <v>10000</v>
      </c>
      <c r="H119" s="5"/>
      <c r="I119" s="5" t="s">
        <v>1710</v>
      </c>
      <c r="J119" s="5" t="s">
        <v>1711</v>
      </c>
    </row>
    <row r="120" spans="1:10" ht="409.6" x14ac:dyDescent="0.3">
      <c r="A120" s="5" t="str">
        <f>HYPERLINK("https://grants.gov/search-results-detail/357482","L25AS00152")</f>
        <v>L25AS00152</v>
      </c>
      <c r="B120" s="5" t="s">
        <v>1226</v>
      </c>
      <c r="C120" s="5" t="s">
        <v>206</v>
      </c>
      <c r="D120" s="5" t="s">
        <v>207</v>
      </c>
      <c r="E120" s="6">
        <v>45688</v>
      </c>
      <c r="F120" s="8">
        <v>250000</v>
      </c>
      <c r="G120" s="8">
        <v>25000</v>
      </c>
      <c r="H120" s="5"/>
      <c r="I120" s="5" t="s">
        <v>1227</v>
      </c>
      <c r="J120" s="5" t="s">
        <v>1228</v>
      </c>
    </row>
    <row r="121" spans="1:10" ht="409.6" x14ac:dyDescent="0.3">
      <c r="A121" s="5" t="str">
        <f>HYPERLINK("https://grants.gov/search-results-detail/357480","L25AS00150")</f>
        <v>L25AS00150</v>
      </c>
      <c r="B121" s="5" t="s">
        <v>1229</v>
      </c>
      <c r="C121" s="5" t="s">
        <v>206</v>
      </c>
      <c r="D121" s="5" t="s">
        <v>207</v>
      </c>
      <c r="E121" s="6">
        <v>45688</v>
      </c>
      <c r="F121" s="8">
        <v>200000</v>
      </c>
      <c r="G121" s="8">
        <v>50000</v>
      </c>
      <c r="H121" s="5"/>
      <c r="I121" s="5" t="s">
        <v>243</v>
      </c>
      <c r="J121" s="5" t="s">
        <v>1230</v>
      </c>
    </row>
    <row r="122" spans="1:10" ht="409.6" x14ac:dyDescent="0.3">
      <c r="A122" s="5" t="str">
        <f>HYPERLINK("https://grants.gov/search-results-detail/357478","L25AS00151")</f>
        <v>L25AS00151</v>
      </c>
      <c r="B122" s="5" t="s">
        <v>1231</v>
      </c>
      <c r="C122" s="5" t="s">
        <v>206</v>
      </c>
      <c r="D122" s="5" t="s">
        <v>207</v>
      </c>
      <c r="E122" s="6">
        <v>45688</v>
      </c>
      <c r="F122" s="8">
        <v>125000</v>
      </c>
      <c r="G122" s="8">
        <v>5000</v>
      </c>
      <c r="H122" s="5"/>
      <c r="I122" s="5" t="s">
        <v>395</v>
      </c>
      <c r="J122" s="5" t="s">
        <v>1232</v>
      </c>
    </row>
    <row r="123" spans="1:10" ht="345.6" x14ac:dyDescent="0.3">
      <c r="A123" s="5" t="str">
        <f>HYPERLINK("https://grants.gov/search-results-detail/357329","L25AS00137")</f>
        <v>L25AS00137</v>
      </c>
      <c r="B123" s="5" t="s">
        <v>1323</v>
      </c>
      <c r="C123" s="5" t="s">
        <v>206</v>
      </c>
      <c r="D123" s="5" t="s">
        <v>207</v>
      </c>
      <c r="E123" s="6">
        <v>45688</v>
      </c>
      <c r="F123" s="8">
        <v>40000</v>
      </c>
      <c r="G123" s="8">
        <v>5000</v>
      </c>
      <c r="H123" s="5"/>
      <c r="I123" s="5" t="s">
        <v>1324</v>
      </c>
      <c r="J123" s="5" t="s">
        <v>1325</v>
      </c>
    </row>
    <row r="124" spans="1:10" ht="409.6" x14ac:dyDescent="0.3">
      <c r="A124" s="5" t="str">
        <f>HYPERLINK("https://grants.gov/search-results-detail/357525","L25AS00160")</f>
        <v>L25AS00160</v>
      </c>
      <c r="B124" s="5" t="s">
        <v>1100</v>
      </c>
      <c r="C124" s="5" t="s">
        <v>206</v>
      </c>
      <c r="D124" s="5" t="s">
        <v>207</v>
      </c>
      <c r="E124" s="6">
        <v>45691</v>
      </c>
      <c r="F124" s="8">
        <v>950000</v>
      </c>
      <c r="G124" s="8">
        <v>5000</v>
      </c>
      <c r="H124" s="5"/>
      <c r="I124" s="5" t="s">
        <v>208</v>
      </c>
      <c r="J124" s="5" t="s">
        <v>250</v>
      </c>
    </row>
    <row r="125" spans="1:10" ht="403.2" x14ac:dyDescent="0.3">
      <c r="A125" s="5" t="str">
        <f>HYPERLINK("https://grants.gov/search-results-detail/357526","L25AS00161")</f>
        <v>L25AS00161</v>
      </c>
      <c r="B125" s="5" t="s">
        <v>1101</v>
      </c>
      <c r="C125" s="5" t="s">
        <v>206</v>
      </c>
      <c r="D125" s="5" t="s">
        <v>207</v>
      </c>
      <c r="E125" s="6">
        <v>45691</v>
      </c>
      <c r="F125" s="8">
        <v>300000</v>
      </c>
      <c r="G125" s="8">
        <v>50000</v>
      </c>
      <c r="H125" s="5"/>
      <c r="I125" s="5" t="s">
        <v>1102</v>
      </c>
      <c r="J125" s="5" t="s">
        <v>1103</v>
      </c>
    </row>
    <row r="126" spans="1:10" ht="409.6" x14ac:dyDescent="0.3">
      <c r="A126" s="5" t="str">
        <f>HYPERLINK("https://grants.gov/search-results-detail/357522","L25AS00144")</f>
        <v>L25AS00144</v>
      </c>
      <c r="B126" s="5" t="s">
        <v>1125</v>
      </c>
      <c r="C126" s="5" t="s">
        <v>206</v>
      </c>
      <c r="D126" s="5" t="s">
        <v>207</v>
      </c>
      <c r="E126" s="6">
        <v>45691</v>
      </c>
      <c r="F126" s="8">
        <v>500000</v>
      </c>
      <c r="G126" s="8">
        <v>50000</v>
      </c>
      <c r="H126" s="5"/>
      <c r="I126" s="5" t="s">
        <v>249</v>
      </c>
      <c r="J126" s="5" t="s">
        <v>247</v>
      </c>
    </row>
    <row r="127" spans="1:10" ht="409.6" x14ac:dyDescent="0.3">
      <c r="A127" s="5" t="str">
        <f>HYPERLINK("https://grants.gov/search-results-detail/357520","L25AS00141")</f>
        <v>L25AS00141</v>
      </c>
      <c r="B127" s="5" t="s">
        <v>1126</v>
      </c>
      <c r="C127" s="5" t="s">
        <v>206</v>
      </c>
      <c r="D127" s="5" t="s">
        <v>207</v>
      </c>
      <c r="E127" s="6">
        <v>45691</v>
      </c>
      <c r="F127" s="8">
        <v>200000</v>
      </c>
      <c r="G127" s="8">
        <v>5000</v>
      </c>
      <c r="H127" s="5"/>
      <c r="I127" s="5" t="s">
        <v>246</v>
      </c>
      <c r="J127" s="5" t="s">
        <v>250</v>
      </c>
    </row>
    <row r="128" spans="1:10" ht="403.2" x14ac:dyDescent="0.3">
      <c r="A128" s="5" t="str">
        <f>HYPERLINK("https://grants.gov/search-results-detail/357523","L25AS00143")</f>
        <v>L25AS00143</v>
      </c>
      <c r="B128" s="5" t="s">
        <v>1127</v>
      </c>
      <c r="C128" s="5" t="s">
        <v>206</v>
      </c>
      <c r="D128" s="5" t="s">
        <v>207</v>
      </c>
      <c r="E128" s="6">
        <v>45691</v>
      </c>
      <c r="F128" s="8">
        <v>120000</v>
      </c>
      <c r="G128" s="8">
        <v>100000</v>
      </c>
      <c r="H128" s="5"/>
      <c r="I128" s="5" t="s">
        <v>1128</v>
      </c>
      <c r="J128" s="5" t="s">
        <v>1103</v>
      </c>
    </row>
    <row r="129" spans="1:10" ht="409.6" x14ac:dyDescent="0.3">
      <c r="A129" s="5" t="str">
        <f>HYPERLINK("https://grants.gov/search-results-detail/357315","L25AS00148")</f>
        <v>L25AS00148</v>
      </c>
      <c r="B129" s="5" t="s">
        <v>1358</v>
      </c>
      <c r="C129" s="5" t="s">
        <v>206</v>
      </c>
      <c r="D129" s="5" t="s">
        <v>207</v>
      </c>
      <c r="E129" s="6">
        <v>45691</v>
      </c>
      <c r="F129" s="8">
        <v>125000</v>
      </c>
      <c r="G129" s="8">
        <v>10000</v>
      </c>
      <c r="H129" s="5"/>
      <c r="I129" s="5" t="s">
        <v>1359</v>
      </c>
      <c r="J129" s="5" t="s">
        <v>1360</v>
      </c>
    </row>
    <row r="130" spans="1:10" ht="409.6" x14ac:dyDescent="0.3">
      <c r="A130" s="5" t="str">
        <f>HYPERLINK("https://grants.gov/search-results-detail/357314","L25AS00149")</f>
        <v>L25AS00149</v>
      </c>
      <c r="B130" s="5" t="s">
        <v>1361</v>
      </c>
      <c r="C130" s="5" t="s">
        <v>206</v>
      </c>
      <c r="D130" s="5" t="s">
        <v>207</v>
      </c>
      <c r="E130" s="6">
        <v>45691</v>
      </c>
      <c r="F130" s="8">
        <v>250000</v>
      </c>
      <c r="G130" s="8">
        <v>50000</v>
      </c>
      <c r="H130" s="5"/>
      <c r="I130" s="5" t="s">
        <v>1362</v>
      </c>
      <c r="J130" s="5" t="s">
        <v>1363</v>
      </c>
    </row>
    <row r="131" spans="1:10" ht="409.6" x14ac:dyDescent="0.3">
      <c r="A131" s="5" t="str">
        <f>HYPERLINK("https://grants.gov/search-results-detail/357310","L25AS00146")</f>
        <v>L25AS00146</v>
      </c>
      <c r="B131" s="5" t="s">
        <v>1364</v>
      </c>
      <c r="C131" s="5" t="s">
        <v>206</v>
      </c>
      <c r="D131" s="5" t="s">
        <v>207</v>
      </c>
      <c r="E131" s="6">
        <v>45691</v>
      </c>
      <c r="F131" s="8">
        <v>40000</v>
      </c>
      <c r="G131" s="8">
        <v>10000</v>
      </c>
      <c r="H131" s="5"/>
      <c r="I131" s="5" t="s">
        <v>1365</v>
      </c>
      <c r="J131" s="5" t="s">
        <v>1366</v>
      </c>
    </row>
    <row r="132" spans="1:10" ht="409.6" x14ac:dyDescent="0.3">
      <c r="A132" s="5" t="str">
        <f>HYPERLINK("https://grants.gov/search-results-detail/357097","L25AS00069")</f>
        <v>L25AS00069</v>
      </c>
      <c r="B132" s="5" t="s">
        <v>1505</v>
      </c>
      <c r="C132" s="5" t="s">
        <v>206</v>
      </c>
      <c r="D132" s="5" t="s">
        <v>207</v>
      </c>
      <c r="E132" s="6">
        <v>45691</v>
      </c>
      <c r="F132" s="8">
        <v>100000</v>
      </c>
      <c r="G132" s="8">
        <v>10000</v>
      </c>
      <c r="H132" s="5"/>
      <c r="I132" s="5" t="s">
        <v>1132</v>
      </c>
      <c r="J132" s="5" t="s">
        <v>250</v>
      </c>
    </row>
    <row r="133" spans="1:10" ht="409.6" x14ac:dyDescent="0.3">
      <c r="A133" s="5" t="str">
        <f>HYPERLINK("https://grants.gov/search-results-detail/357099","L25AS00077")</f>
        <v>L25AS00077</v>
      </c>
      <c r="B133" s="5" t="s">
        <v>1506</v>
      </c>
      <c r="C133" s="5" t="s">
        <v>206</v>
      </c>
      <c r="D133" s="5" t="s">
        <v>207</v>
      </c>
      <c r="E133" s="6">
        <v>45691</v>
      </c>
      <c r="F133" s="8">
        <v>100000</v>
      </c>
      <c r="G133" s="8">
        <v>10000</v>
      </c>
      <c r="H133" s="5"/>
      <c r="I133" s="5" t="s">
        <v>1507</v>
      </c>
      <c r="J133" s="5" t="s">
        <v>1508</v>
      </c>
    </row>
    <row r="134" spans="1:10" ht="409.6" x14ac:dyDescent="0.3">
      <c r="A134" s="5" t="str">
        <f>HYPERLINK("https://grants.gov/search-results-detail/357098","L25AS00075")</f>
        <v>L25AS00075</v>
      </c>
      <c r="B134" s="5" t="s">
        <v>1509</v>
      </c>
      <c r="C134" s="5" t="s">
        <v>206</v>
      </c>
      <c r="D134" s="5" t="s">
        <v>207</v>
      </c>
      <c r="E134" s="6">
        <v>45691</v>
      </c>
      <c r="F134" s="8">
        <v>250000</v>
      </c>
      <c r="G134" s="8">
        <v>30000</v>
      </c>
      <c r="H134" s="5"/>
      <c r="I134" s="5" t="s">
        <v>208</v>
      </c>
      <c r="J134" s="5" t="s">
        <v>1510</v>
      </c>
    </row>
    <row r="135" spans="1:10" ht="331.2" x14ac:dyDescent="0.3">
      <c r="A135" s="5" t="str">
        <f>HYPERLINK("https://grants.gov/search-results-detail/357101","L25AS00076")</f>
        <v>L25AS00076</v>
      </c>
      <c r="B135" s="5" t="s">
        <v>1511</v>
      </c>
      <c r="C135" s="5" t="s">
        <v>206</v>
      </c>
      <c r="D135" s="5" t="s">
        <v>207</v>
      </c>
      <c r="E135" s="6">
        <v>45691</v>
      </c>
      <c r="F135" s="8">
        <v>20000</v>
      </c>
      <c r="G135" s="8">
        <v>20000</v>
      </c>
      <c r="H135" s="5"/>
      <c r="I135" s="5" t="s">
        <v>208</v>
      </c>
      <c r="J135" s="5" t="s">
        <v>1512</v>
      </c>
    </row>
    <row r="136" spans="1:10" ht="409.6" x14ac:dyDescent="0.3">
      <c r="A136" s="5" t="str">
        <f>HYPERLINK("https://grants.gov/search-results-detail/357092","L25AS00071")</f>
        <v>L25AS00071</v>
      </c>
      <c r="B136" s="5" t="s">
        <v>1513</v>
      </c>
      <c r="C136" s="5" t="s">
        <v>206</v>
      </c>
      <c r="D136" s="5" t="s">
        <v>207</v>
      </c>
      <c r="E136" s="6">
        <v>45691</v>
      </c>
      <c r="F136" s="8">
        <v>100000</v>
      </c>
      <c r="G136" s="8">
        <v>15000</v>
      </c>
      <c r="H136" s="5"/>
      <c r="I136" s="5" t="s">
        <v>1324</v>
      </c>
      <c r="J136" s="5" t="s">
        <v>1514</v>
      </c>
    </row>
    <row r="137" spans="1:10" ht="409.6" x14ac:dyDescent="0.3">
      <c r="A137" s="5" t="str">
        <f>HYPERLINK("https://grants.gov/search-results-detail/357093","L25AS00072")</f>
        <v>L25AS00072</v>
      </c>
      <c r="B137" s="5" t="s">
        <v>1515</v>
      </c>
      <c r="C137" s="5" t="s">
        <v>206</v>
      </c>
      <c r="D137" s="5" t="s">
        <v>207</v>
      </c>
      <c r="E137" s="6">
        <v>45691</v>
      </c>
      <c r="F137" s="8">
        <v>18000</v>
      </c>
      <c r="G137" s="8">
        <v>10000</v>
      </c>
      <c r="H137" s="5"/>
      <c r="I137" s="5" t="s">
        <v>1105</v>
      </c>
      <c r="J137" s="5" t="s">
        <v>1516</v>
      </c>
    </row>
    <row r="138" spans="1:10" ht="409.6" x14ac:dyDescent="0.3">
      <c r="A138" s="5" t="str">
        <f>HYPERLINK("https://grants.gov/search-results-detail/357094","L25AS00073")</f>
        <v>L25AS00073</v>
      </c>
      <c r="B138" s="5" t="s">
        <v>1517</v>
      </c>
      <c r="C138" s="5" t="s">
        <v>206</v>
      </c>
      <c r="D138" s="5" t="s">
        <v>207</v>
      </c>
      <c r="E138" s="6">
        <v>45691</v>
      </c>
      <c r="F138" s="8">
        <v>50000</v>
      </c>
      <c r="G138" s="8">
        <v>10000</v>
      </c>
      <c r="H138" s="5"/>
      <c r="I138" s="5" t="s">
        <v>1518</v>
      </c>
      <c r="J138" s="5" t="s">
        <v>1519</v>
      </c>
    </row>
    <row r="139" spans="1:10" ht="409.6" x14ac:dyDescent="0.3">
      <c r="A139" s="5" t="str">
        <f>HYPERLINK("https://grants.gov/search-results-detail/357262","L25AS00088")</f>
        <v>L25AS00088</v>
      </c>
      <c r="B139" s="5" t="s">
        <v>1397</v>
      </c>
      <c r="C139" s="5" t="s">
        <v>206</v>
      </c>
      <c r="D139" s="5" t="s">
        <v>207</v>
      </c>
      <c r="E139" s="6">
        <v>45692</v>
      </c>
      <c r="F139" s="8">
        <v>200000</v>
      </c>
      <c r="G139" s="8">
        <v>50000</v>
      </c>
      <c r="H139" s="5"/>
      <c r="I139" s="5" t="s">
        <v>1398</v>
      </c>
      <c r="J139" s="5" t="s">
        <v>1399</v>
      </c>
    </row>
    <row r="140" spans="1:10" ht="409.6" x14ac:dyDescent="0.3">
      <c r="A140" s="5" t="str">
        <f>HYPERLINK("https://grants.gov/search-results-detail/357546","L25AS00087")</f>
        <v>L25AS00087</v>
      </c>
      <c r="B140" s="5" t="s">
        <v>1073</v>
      </c>
      <c r="C140" s="5" t="s">
        <v>206</v>
      </c>
      <c r="D140" s="5" t="s">
        <v>207</v>
      </c>
      <c r="E140" s="6">
        <v>45700</v>
      </c>
      <c r="F140" s="8">
        <v>100000</v>
      </c>
      <c r="G140" s="8">
        <v>10000</v>
      </c>
      <c r="H140" s="5"/>
      <c r="I140" s="5" t="s">
        <v>1074</v>
      </c>
      <c r="J140" s="5" t="s">
        <v>1075</v>
      </c>
    </row>
    <row r="141" spans="1:10" ht="409.6" x14ac:dyDescent="0.3">
      <c r="A141" s="5" t="str">
        <f>HYPERLINK("https://grants.gov/search-results-detail/357756","L25AS00163")</f>
        <v>L25AS00163</v>
      </c>
      <c r="B141" s="5" t="s">
        <v>389</v>
      </c>
      <c r="C141" s="5" t="s">
        <v>206</v>
      </c>
      <c r="D141" s="5" t="s">
        <v>207</v>
      </c>
      <c r="E141" s="6">
        <v>45702</v>
      </c>
      <c r="F141" s="8">
        <v>1000000</v>
      </c>
      <c r="G141" s="8">
        <v>5000</v>
      </c>
      <c r="H141" s="5"/>
      <c r="I141" s="5" t="s">
        <v>799</v>
      </c>
      <c r="J141" s="5" t="s">
        <v>391</v>
      </c>
    </row>
    <row r="142" spans="1:10" ht="409.6" x14ac:dyDescent="0.3">
      <c r="A142" s="5" t="str">
        <f>HYPERLINK("https://grants.gov/search-results-detail/357721","L25AS00157")</f>
        <v>L25AS00157</v>
      </c>
      <c r="B142" s="5" t="s">
        <v>841</v>
      </c>
      <c r="C142" s="5" t="s">
        <v>206</v>
      </c>
      <c r="D142" s="5" t="s">
        <v>207</v>
      </c>
      <c r="E142" s="6">
        <v>45702</v>
      </c>
      <c r="F142" s="8">
        <v>650000</v>
      </c>
      <c r="G142" s="8">
        <v>10000</v>
      </c>
      <c r="H142" s="5"/>
      <c r="I142" s="5" t="s">
        <v>737</v>
      </c>
      <c r="J142" s="5" t="s">
        <v>250</v>
      </c>
    </row>
    <row r="143" spans="1:10" ht="409.6" x14ac:dyDescent="0.3">
      <c r="A143" s="5" t="str">
        <f>HYPERLINK("https://grants.gov/search-results-detail/357657","L25AS00168")</f>
        <v>L25AS00168</v>
      </c>
      <c r="B143" s="5" t="s">
        <v>906</v>
      </c>
      <c r="C143" s="5" t="s">
        <v>206</v>
      </c>
      <c r="D143" s="5" t="s">
        <v>207</v>
      </c>
      <c r="E143" s="6">
        <v>45702</v>
      </c>
      <c r="F143" s="8">
        <v>2000000</v>
      </c>
      <c r="G143" s="8">
        <v>10000</v>
      </c>
      <c r="H143" s="5"/>
      <c r="I143" s="5" t="s">
        <v>800</v>
      </c>
      <c r="J143" s="5" t="s">
        <v>907</v>
      </c>
    </row>
    <row r="144" spans="1:10" ht="409.6" x14ac:dyDescent="0.3">
      <c r="A144" s="5" t="str">
        <f>HYPERLINK("https://grants.gov/search-results-detail/357661","L25AS00167")</f>
        <v>L25AS00167</v>
      </c>
      <c r="B144" s="5" t="s">
        <v>908</v>
      </c>
      <c r="C144" s="5" t="s">
        <v>206</v>
      </c>
      <c r="D144" s="5" t="s">
        <v>207</v>
      </c>
      <c r="E144" s="6">
        <v>45702</v>
      </c>
      <c r="F144" s="8">
        <v>250000</v>
      </c>
      <c r="G144" s="8">
        <v>10000</v>
      </c>
      <c r="H144" s="5"/>
      <c r="I144" s="5" t="s">
        <v>730</v>
      </c>
      <c r="J144" s="5" t="s">
        <v>909</v>
      </c>
    </row>
    <row r="145" spans="1:10" ht="409.6" x14ac:dyDescent="0.3">
      <c r="A145" s="5" t="str">
        <f>HYPERLINK("https://grants.gov/search-results-detail/357663","L25AS00169")</f>
        <v>L25AS00169</v>
      </c>
      <c r="B145" s="5" t="s">
        <v>917</v>
      </c>
      <c r="C145" s="5" t="s">
        <v>206</v>
      </c>
      <c r="D145" s="5" t="s">
        <v>207</v>
      </c>
      <c r="E145" s="6">
        <v>45702</v>
      </c>
      <c r="F145" s="8">
        <v>500000</v>
      </c>
      <c r="G145" s="8">
        <v>50000</v>
      </c>
      <c r="H145" s="5"/>
      <c r="I145" s="5" t="s">
        <v>918</v>
      </c>
      <c r="J145" s="5" t="s">
        <v>919</v>
      </c>
    </row>
    <row r="146" spans="1:10" ht="331.2" x14ac:dyDescent="0.3">
      <c r="A146" s="5" t="str">
        <f>HYPERLINK("https://grants.gov/search-results-detail/357665","L25AS00170")</f>
        <v>L25AS00170</v>
      </c>
      <c r="B146" s="5" t="s">
        <v>923</v>
      </c>
      <c r="C146" s="5" t="s">
        <v>206</v>
      </c>
      <c r="D146" s="5" t="s">
        <v>207</v>
      </c>
      <c r="E146" s="6">
        <v>45702</v>
      </c>
      <c r="F146" s="8">
        <v>10000000</v>
      </c>
      <c r="G146" s="8">
        <v>200000</v>
      </c>
      <c r="H146" s="5"/>
      <c r="I146" s="5" t="s">
        <v>582</v>
      </c>
      <c r="J146" s="5" t="s">
        <v>209</v>
      </c>
    </row>
    <row r="147" spans="1:10" ht="409.6" x14ac:dyDescent="0.3">
      <c r="A147" s="5" t="str">
        <f>HYPERLINK("https://grants.gov/search-results-detail/357854","L25AS00097")</f>
        <v>L25AS00097</v>
      </c>
      <c r="B147" s="5" t="s">
        <v>262</v>
      </c>
      <c r="C147" s="5" t="s">
        <v>206</v>
      </c>
      <c r="D147" s="5" t="s">
        <v>207</v>
      </c>
      <c r="E147" s="6">
        <v>45705</v>
      </c>
      <c r="F147" s="8">
        <v>999000</v>
      </c>
      <c r="G147" s="8">
        <v>10000</v>
      </c>
      <c r="H147" s="5"/>
      <c r="I147" s="5" t="s">
        <v>737</v>
      </c>
      <c r="J147" s="5" t="s">
        <v>263</v>
      </c>
    </row>
    <row r="148" spans="1:10" ht="409.6" x14ac:dyDescent="0.3">
      <c r="A148" s="5" t="str">
        <f>HYPERLINK("https://grants.gov/search-results-detail/357752","L25AS00177")</f>
        <v>L25AS00177</v>
      </c>
      <c r="B148" s="5" t="s">
        <v>387</v>
      </c>
      <c r="C148" s="5" t="s">
        <v>206</v>
      </c>
      <c r="D148" s="5" t="s">
        <v>207</v>
      </c>
      <c r="E148" s="6">
        <v>45705</v>
      </c>
      <c r="F148" s="8">
        <v>250000</v>
      </c>
      <c r="G148" s="8">
        <v>5000</v>
      </c>
      <c r="H148" s="5"/>
      <c r="I148" s="5" t="s">
        <v>558</v>
      </c>
      <c r="J148" s="5" t="s">
        <v>388</v>
      </c>
    </row>
    <row r="149" spans="1:10" ht="409.6" x14ac:dyDescent="0.3">
      <c r="A149" s="5" t="str">
        <f>HYPERLINK("https://grants.gov/search-results-detail/357754","L25AS00179")</f>
        <v>L25AS00179</v>
      </c>
      <c r="B149" s="5" t="s">
        <v>392</v>
      </c>
      <c r="C149" s="5" t="s">
        <v>206</v>
      </c>
      <c r="D149" s="5" t="s">
        <v>207</v>
      </c>
      <c r="E149" s="6">
        <v>45705</v>
      </c>
      <c r="F149" s="8">
        <v>100000</v>
      </c>
      <c r="G149" s="8">
        <v>5000</v>
      </c>
      <c r="H149" s="5"/>
      <c r="I149" s="5" t="s">
        <v>594</v>
      </c>
      <c r="J149" s="5" t="s">
        <v>393</v>
      </c>
    </row>
    <row r="150" spans="1:10" ht="409.6" x14ac:dyDescent="0.3">
      <c r="A150" s="5" t="str">
        <f>HYPERLINK("https://grants.gov/search-results-detail/357753","L25AS00176")</f>
        <v>L25AS00176</v>
      </c>
      <c r="B150" s="5" t="s">
        <v>394</v>
      </c>
      <c r="C150" s="5" t="s">
        <v>206</v>
      </c>
      <c r="D150" s="5" t="s">
        <v>207</v>
      </c>
      <c r="E150" s="6">
        <v>45705</v>
      </c>
      <c r="F150" s="8">
        <v>350000</v>
      </c>
      <c r="G150" s="8">
        <v>10000</v>
      </c>
      <c r="H150" s="5"/>
      <c r="I150" s="5" t="s">
        <v>800</v>
      </c>
      <c r="J150" s="5" t="s">
        <v>396</v>
      </c>
    </row>
    <row r="151" spans="1:10" ht="409.6" x14ac:dyDescent="0.3">
      <c r="A151" s="5" t="str">
        <f>HYPERLINK("https://grants.gov/search-results-detail/357751","L25AS00178")</f>
        <v>L25AS00178</v>
      </c>
      <c r="B151" s="5" t="s">
        <v>397</v>
      </c>
      <c r="C151" s="5" t="s">
        <v>206</v>
      </c>
      <c r="D151" s="5" t="s">
        <v>207</v>
      </c>
      <c r="E151" s="6">
        <v>45705</v>
      </c>
      <c r="F151" s="8">
        <v>100000</v>
      </c>
      <c r="G151" s="8">
        <v>5000</v>
      </c>
      <c r="H151" s="5"/>
      <c r="I151" s="5" t="s">
        <v>243</v>
      </c>
      <c r="J151" s="5" t="s">
        <v>398</v>
      </c>
    </row>
    <row r="152" spans="1:10" ht="409.6" x14ac:dyDescent="0.3">
      <c r="A152" s="5" t="str">
        <f>HYPERLINK("https://grants.gov/search-results-detail/357750","L25AS00175")</f>
        <v>L25AS00175</v>
      </c>
      <c r="B152" s="5" t="s">
        <v>399</v>
      </c>
      <c r="C152" s="5" t="s">
        <v>206</v>
      </c>
      <c r="D152" s="5" t="s">
        <v>207</v>
      </c>
      <c r="E152" s="6">
        <v>45705</v>
      </c>
      <c r="F152" s="8">
        <v>60000</v>
      </c>
      <c r="G152" s="8">
        <v>5000</v>
      </c>
      <c r="H152" s="5"/>
      <c r="I152" s="5" t="s">
        <v>729</v>
      </c>
      <c r="J152" s="5" t="s">
        <v>250</v>
      </c>
    </row>
    <row r="153" spans="1:10" ht="331.2" x14ac:dyDescent="0.3">
      <c r="A153" s="5" t="str">
        <f>HYPERLINK("https://grants.gov/search-results-detail/357117","L25AS00086")</f>
        <v>L25AS00086</v>
      </c>
      <c r="B153" s="5" t="s">
        <v>1480</v>
      </c>
      <c r="C153" s="5" t="s">
        <v>206</v>
      </c>
      <c r="D153" s="5" t="s">
        <v>207</v>
      </c>
      <c r="E153" s="6">
        <v>45706</v>
      </c>
      <c r="F153" s="8">
        <v>500000</v>
      </c>
      <c r="G153" s="8">
        <v>30000</v>
      </c>
      <c r="H153" s="5"/>
      <c r="I153" s="5" t="s">
        <v>737</v>
      </c>
      <c r="J153" s="5" t="s">
        <v>209</v>
      </c>
    </row>
    <row r="154" spans="1:10" ht="409.6" x14ac:dyDescent="0.3">
      <c r="A154" s="5" t="str">
        <f>HYPERLINK("https://grants.gov/search-results-detail/357319","L25AS00145")</f>
        <v>L25AS00145</v>
      </c>
      <c r="B154" s="5" t="s">
        <v>1354</v>
      </c>
      <c r="C154" s="5" t="s">
        <v>206</v>
      </c>
      <c r="D154" s="5" t="s">
        <v>207</v>
      </c>
      <c r="E154" s="6">
        <v>45707</v>
      </c>
      <c r="F154" s="8">
        <v>300000</v>
      </c>
      <c r="G154" s="8">
        <v>5000</v>
      </c>
      <c r="H154" s="5"/>
      <c r="I154" s="5" t="s">
        <v>751</v>
      </c>
      <c r="J154" s="5" t="s">
        <v>1355</v>
      </c>
    </row>
    <row r="155" spans="1:10" ht="409.6" x14ac:dyDescent="0.3">
      <c r="A155" s="5" t="str">
        <f>HYPERLINK("https://grants.gov/search-results-detail/357818","L25AS00193")</f>
        <v>L25AS00193</v>
      </c>
      <c r="B155" s="5" t="s">
        <v>289</v>
      </c>
      <c r="C155" s="5" t="s">
        <v>206</v>
      </c>
      <c r="D155" s="5" t="s">
        <v>207</v>
      </c>
      <c r="E155" s="6">
        <v>45709</v>
      </c>
      <c r="F155" s="8">
        <v>5000000</v>
      </c>
      <c r="G155" s="8">
        <v>500000</v>
      </c>
      <c r="H155" s="5"/>
      <c r="I155" s="5" t="s">
        <v>751</v>
      </c>
      <c r="J155" s="5" t="s">
        <v>290</v>
      </c>
    </row>
    <row r="156" spans="1:10" ht="345.6" x14ac:dyDescent="0.3">
      <c r="A156" s="5" t="str">
        <f>HYPERLINK("https://grants.gov/search-results-detail/357878","L25AS00198")</f>
        <v>L25AS00198</v>
      </c>
      <c r="B156" s="5" t="s">
        <v>205</v>
      </c>
      <c r="C156" s="5" t="s">
        <v>206</v>
      </c>
      <c r="D156" s="5" t="s">
        <v>207</v>
      </c>
      <c r="E156" s="6">
        <v>45714</v>
      </c>
      <c r="F156" s="8">
        <v>1000000</v>
      </c>
      <c r="G156" s="8">
        <v>50000</v>
      </c>
      <c r="H156" s="5"/>
      <c r="I156" s="5" t="s">
        <v>249</v>
      </c>
      <c r="J156" s="5" t="s">
        <v>209</v>
      </c>
    </row>
    <row r="157" spans="1:10" ht="409.6" x14ac:dyDescent="0.3">
      <c r="A157" s="5" t="str">
        <f>HYPERLINK("https://grants.gov/search-results-detail/357850","L25AS00203")</f>
        <v>L25AS00203</v>
      </c>
      <c r="B157" s="5" t="s">
        <v>245</v>
      </c>
      <c r="C157" s="5" t="s">
        <v>206</v>
      </c>
      <c r="D157" s="5" t="s">
        <v>207</v>
      </c>
      <c r="E157" s="6">
        <v>45714</v>
      </c>
      <c r="F157" s="8">
        <v>150000</v>
      </c>
      <c r="G157" s="8">
        <v>10000</v>
      </c>
      <c r="H157" s="5"/>
      <c r="I157" s="5" t="s">
        <v>729</v>
      </c>
      <c r="J157" s="5" t="s">
        <v>247</v>
      </c>
    </row>
    <row r="158" spans="1:10" ht="409.6" x14ac:dyDescent="0.3">
      <c r="A158" s="5" t="str">
        <f>HYPERLINK("https://grants.gov/search-results-detail/357845","L25AS00197")</f>
        <v>L25AS00197</v>
      </c>
      <c r="B158" s="5" t="s">
        <v>224</v>
      </c>
      <c r="C158" s="5" t="s">
        <v>206</v>
      </c>
      <c r="D158" s="5" t="s">
        <v>207</v>
      </c>
      <c r="E158" s="6">
        <v>45714</v>
      </c>
      <c r="F158" s="8">
        <v>135000</v>
      </c>
      <c r="G158" s="8">
        <v>10000</v>
      </c>
      <c r="H158" s="5"/>
      <c r="I158" s="5" t="s">
        <v>390</v>
      </c>
      <c r="J158" s="5" t="s">
        <v>225</v>
      </c>
    </row>
    <row r="159" spans="1:10" ht="409.6" x14ac:dyDescent="0.3">
      <c r="A159" s="5" t="str">
        <f>HYPERLINK("https://grants.gov/search-results-detail/357849","L25AS00201")</f>
        <v>L25AS00201</v>
      </c>
      <c r="B159" s="5" t="s">
        <v>242</v>
      </c>
      <c r="C159" s="5" t="s">
        <v>206</v>
      </c>
      <c r="D159" s="5" t="s">
        <v>207</v>
      </c>
      <c r="E159" s="6">
        <v>45714</v>
      </c>
      <c r="F159" s="8">
        <v>800000</v>
      </c>
      <c r="G159" s="8">
        <v>10000</v>
      </c>
      <c r="H159" s="5"/>
      <c r="I159" s="5" t="s">
        <v>730</v>
      </c>
      <c r="J159" s="5" t="s">
        <v>244</v>
      </c>
    </row>
    <row r="160" spans="1:10" ht="409.6" x14ac:dyDescent="0.3">
      <c r="A160" s="5" t="str">
        <f>HYPERLINK("https://grants.gov/search-results-detail/357847","L25AS00185")</f>
        <v>L25AS00185</v>
      </c>
      <c r="B160" s="5" t="s">
        <v>240</v>
      </c>
      <c r="C160" s="5" t="s">
        <v>206</v>
      </c>
      <c r="D160" s="5" t="s">
        <v>207</v>
      </c>
      <c r="E160" s="6">
        <v>45714</v>
      </c>
      <c r="F160" s="8">
        <v>1000000</v>
      </c>
      <c r="G160" s="8">
        <v>250000</v>
      </c>
      <c r="H160" s="5"/>
      <c r="I160" s="5" t="s">
        <v>731</v>
      </c>
      <c r="J160" s="5" t="s">
        <v>241</v>
      </c>
    </row>
    <row r="161" spans="1:10" ht="409.6" x14ac:dyDescent="0.3">
      <c r="A161" s="5" t="str">
        <f>HYPERLINK("https://grants.gov/search-results-detail/357846","L25AS00202")</f>
        <v>L25AS00202</v>
      </c>
      <c r="B161" s="5" t="s">
        <v>226</v>
      </c>
      <c r="C161" s="5" t="s">
        <v>206</v>
      </c>
      <c r="D161" s="5" t="s">
        <v>207</v>
      </c>
      <c r="E161" s="6">
        <v>45714</v>
      </c>
      <c r="F161" s="8">
        <v>500000</v>
      </c>
      <c r="G161" s="8">
        <v>10000</v>
      </c>
      <c r="H161" s="5"/>
      <c r="I161" s="5" t="s">
        <v>732</v>
      </c>
      <c r="J161" s="5" t="s">
        <v>227</v>
      </c>
    </row>
    <row r="162" spans="1:10" ht="409.6" x14ac:dyDescent="0.3">
      <c r="A162" s="5" t="str">
        <f>HYPERLINK("https://grants.gov/search-results-detail/357851","L25AS00204")</f>
        <v>L25AS00204</v>
      </c>
      <c r="B162" s="5" t="s">
        <v>248</v>
      </c>
      <c r="C162" s="5" t="s">
        <v>206</v>
      </c>
      <c r="D162" s="5" t="s">
        <v>207</v>
      </c>
      <c r="E162" s="6">
        <v>45714</v>
      </c>
      <c r="F162" s="8">
        <v>50000</v>
      </c>
      <c r="G162" s="8">
        <v>10000</v>
      </c>
      <c r="H162" s="5"/>
      <c r="I162" s="5" t="s">
        <v>582</v>
      </c>
      <c r="J162" s="5" t="s">
        <v>250</v>
      </c>
    </row>
    <row r="163" spans="1:10" ht="409.6" x14ac:dyDescent="0.3">
      <c r="A163" s="5" t="str">
        <f>HYPERLINK("https://grants.gov/search-results-detail/357496","L25AS00159")</f>
        <v>L25AS00159</v>
      </c>
      <c r="B163" s="5" t="s">
        <v>1207</v>
      </c>
      <c r="C163" s="5" t="s">
        <v>206</v>
      </c>
      <c r="D163" s="5" t="s">
        <v>207</v>
      </c>
      <c r="E163" s="6">
        <v>45716</v>
      </c>
      <c r="F163" s="8">
        <v>250000</v>
      </c>
      <c r="G163" s="8">
        <v>40000</v>
      </c>
      <c r="H163" s="5"/>
      <c r="I163" s="5" t="s">
        <v>1208</v>
      </c>
      <c r="J163" s="5" t="s">
        <v>1209</v>
      </c>
    </row>
    <row r="164" spans="1:10" ht="409.6" x14ac:dyDescent="0.3">
      <c r="A164" s="5" t="str">
        <f>HYPERLINK("https://grants.gov/search-results-detail/357481","L25AS00158")</f>
        <v>L25AS00158</v>
      </c>
      <c r="B164" s="5" t="s">
        <v>1215</v>
      </c>
      <c r="C164" s="5" t="s">
        <v>206</v>
      </c>
      <c r="D164" s="5" t="s">
        <v>207</v>
      </c>
      <c r="E164" s="6">
        <v>45716</v>
      </c>
      <c r="F164" s="8">
        <v>45000</v>
      </c>
      <c r="G164" s="8">
        <v>5000</v>
      </c>
      <c r="H164" s="5"/>
      <c r="I164" s="5" t="s">
        <v>1216</v>
      </c>
      <c r="J164" s="5" t="s">
        <v>1217</v>
      </c>
    </row>
    <row r="165" spans="1:10" ht="409.6" x14ac:dyDescent="0.3">
      <c r="A165" s="5" t="str">
        <f>HYPERLINK("https://grants.gov/search-results-detail/357479","L25AS00147")</f>
        <v>L25AS00147</v>
      </c>
      <c r="B165" s="5" t="s">
        <v>1223</v>
      </c>
      <c r="C165" s="5" t="s">
        <v>206</v>
      </c>
      <c r="D165" s="5" t="s">
        <v>207</v>
      </c>
      <c r="E165" s="6">
        <v>45718</v>
      </c>
      <c r="F165" s="8">
        <v>50000</v>
      </c>
      <c r="G165" s="8">
        <v>28000</v>
      </c>
      <c r="H165" s="5"/>
      <c r="I165" s="5" t="s">
        <v>1224</v>
      </c>
      <c r="J165" s="5" t="s">
        <v>1225</v>
      </c>
    </row>
    <row r="166" spans="1:10" ht="409.6" x14ac:dyDescent="0.3">
      <c r="A166" s="5" t="str">
        <f>HYPERLINK("https://grants.gov/search-results-detail/357174","L25AS00082")</f>
        <v>L25AS00082</v>
      </c>
      <c r="B166" s="5" t="s">
        <v>1453</v>
      </c>
      <c r="C166" s="5" t="s">
        <v>206</v>
      </c>
      <c r="D166" s="5" t="s">
        <v>207</v>
      </c>
      <c r="E166" s="6">
        <v>45719</v>
      </c>
      <c r="F166" s="8">
        <v>1500000</v>
      </c>
      <c r="G166" s="8">
        <v>0</v>
      </c>
      <c r="H166" s="5"/>
      <c r="I166" s="5" t="s">
        <v>1454</v>
      </c>
      <c r="J166" s="5" t="s">
        <v>1455</v>
      </c>
    </row>
    <row r="167" spans="1:10" ht="409.6" x14ac:dyDescent="0.3">
      <c r="A167" s="5" t="str">
        <f>HYPERLINK("https://grants.gov/search-results-detail/357534","L25AS00083")</f>
        <v>L25AS00083</v>
      </c>
      <c r="B167" s="5" t="s">
        <v>1129</v>
      </c>
      <c r="C167" s="5" t="s">
        <v>206</v>
      </c>
      <c r="D167" s="5" t="s">
        <v>207</v>
      </c>
      <c r="E167" s="6">
        <v>45721</v>
      </c>
      <c r="F167" s="8">
        <v>500000</v>
      </c>
      <c r="G167" s="8">
        <v>10000</v>
      </c>
      <c r="H167" s="5"/>
      <c r="I167" s="5" t="s">
        <v>729</v>
      </c>
      <c r="J167" s="5" t="s">
        <v>1130</v>
      </c>
    </row>
    <row r="168" spans="1:10" ht="409.6" x14ac:dyDescent="0.3">
      <c r="A168" s="5" t="str">
        <f>HYPERLINK("https://grants.gov/search-results-detail/357535","L25AS00080")</f>
        <v>L25AS00080</v>
      </c>
      <c r="B168" s="5" t="s">
        <v>1131</v>
      </c>
      <c r="C168" s="5" t="s">
        <v>206</v>
      </c>
      <c r="D168" s="5" t="s">
        <v>207</v>
      </c>
      <c r="E168" s="6">
        <v>45721</v>
      </c>
      <c r="F168" s="8">
        <v>900000</v>
      </c>
      <c r="G168" s="8">
        <v>30000</v>
      </c>
      <c r="H168" s="5"/>
      <c r="I168" s="5" t="s">
        <v>1132</v>
      </c>
      <c r="J168" s="5" t="s">
        <v>1133</v>
      </c>
    </row>
    <row r="169" spans="1:10" ht="409.6" x14ac:dyDescent="0.3">
      <c r="A169" s="5" t="str">
        <f>HYPERLINK("https://grants.gov/search-results-detail/358051","L25AS00174")</f>
        <v>L25AS00174</v>
      </c>
      <c r="B169" s="5" t="s">
        <v>557</v>
      </c>
      <c r="C169" s="5" t="s">
        <v>206</v>
      </c>
      <c r="D169" s="5" t="s">
        <v>207</v>
      </c>
      <c r="E169" s="6">
        <v>45724</v>
      </c>
      <c r="F169" s="8">
        <v>975000</v>
      </c>
      <c r="G169" s="8">
        <v>25000</v>
      </c>
      <c r="H169" s="5"/>
      <c r="I169" s="5" t="s">
        <v>558</v>
      </c>
      <c r="J169" s="5" t="s">
        <v>559</v>
      </c>
    </row>
    <row r="170" spans="1:10" ht="409.6" x14ac:dyDescent="0.3">
      <c r="A170" s="5" t="str">
        <f>HYPERLINK("https://grants.gov/search-results-detail/358066","L25AS00140")</f>
        <v>L25AS00140</v>
      </c>
      <c r="B170" s="5" t="s">
        <v>593</v>
      </c>
      <c r="C170" s="5" t="s">
        <v>206</v>
      </c>
      <c r="D170" s="5" t="s">
        <v>207</v>
      </c>
      <c r="E170" s="6">
        <v>45724</v>
      </c>
      <c r="F170" s="8">
        <v>225000</v>
      </c>
      <c r="G170" s="8">
        <v>20000</v>
      </c>
      <c r="H170" s="5"/>
      <c r="I170" s="5" t="s">
        <v>594</v>
      </c>
      <c r="J170" s="5" t="s">
        <v>595</v>
      </c>
    </row>
    <row r="171" spans="1:10" ht="409.6" x14ac:dyDescent="0.3">
      <c r="A171" s="5" t="str">
        <f>HYPERLINK("https://grants.gov/search-results-detail/358062","L25AS00196")</f>
        <v>L25AS00196</v>
      </c>
      <c r="B171" s="5" t="s">
        <v>581</v>
      </c>
      <c r="C171" s="5" t="s">
        <v>206</v>
      </c>
      <c r="D171" s="5" t="s">
        <v>207</v>
      </c>
      <c r="E171" s="6">
        <v>45726</v>
      </c>
      <c r="F171" s="8">
        <v>500000</v>
      </c>
      <c r="G171" s="8">
        <v>50000</v>
      </c>
      <c r="H171" s="5"/>
      <c r="I171" s="5" t="s">
        <v>582</v>
      </c>
      <c r="J171" s="5" t="s">
        <v>583</v>
      </c>
    </row>
    <row r="172" spans="1:10" ht="409.6" x14ac:dyDescent="0.3">
      <c r="A172" s="5" t="str">
        <f>HYPERLINK("https://grants.gov/search-results-detail/358060","L25AS00195")</f>
        <v>L25AS00195</v>
      </c>
      <c r="B172" s="5" t="s">
        <v>591</v>
      </c>
      <c r="C172" s="5" t="s">
        <v>206</v>
      </c>
      <c r="D172" s="5" t="s">
        <v>207</v>
      </c>
      <c r="E172" s="6">
        <v>45726</v>
      </c>
      <c r="F172" s="8">
        <v>250000</v>
      </c>
      <c r="G172" s="8">
        <v>50000</v>
      </c>
      <c r="H172" s="5"/>
      <c r="I172" s="5" t="s">
        <v>208</v>
      </c>
      <c r="J172" s="5" t="s">
        <v>592</v>
      </c>
    </row>
    <row r="173" spans="1:10" ht="409.6" x14ac:dyDescent="0.3">
      <c r="A173" s="5" t="str">
        <f>HYPERLINK("https://grants.gov/search-results-detail/357519","L25AS00079")</f>
        <v>L25AS00079</v>
      </c>
      <c r="B173" s="5" t="s">
        <v>1104</v>
      </c>
      <c r="C173" s="5" t="s">
        <v>206</v>
      </c>
      <c r="D173" s="5" t="s">
        <v>207</v>
      </c>
      <c r="E173" s="6">
        <v>45726</v>
      </c>
      <c r="F173" s="8">
        <v>200000</v>
      </c>
      <c r="G173" s="8">
        <v>5000</v>
      </c>
      <c r="H173" s="5"/>
      <c r="I173" s="5" t="s">
        <v>1105</v>
      </c>
      <c r="J173" s="5" t="s">
        <v>250</v>
      </c>
    </row>
    <row r="174" spans="1:10" ht="409.6" x14ac:dyDescent="0.3">
      <c r="A174" s="5" t="str">
        <f>HYPERLINK("https://grants.gov/search-results-detail/358123","L25AS00205")</f>
        <v>L25AS00205</v>
      </c>
      <c r="B174" s="5" t="s">
        <v>470</v>
      </c>
      <c r="C174" s="5" t="s">
        <v>206</v>
      </c>
      <c r="D174" s="5" t="s">
        <v>207</v>
      </c>
      <c r="E174" s="6">
        <v>45727</v>
      </c>
      <c r="F174" s="8">
        <v>10000000</v>
      </c>
      <c r="G174" s="8">
        <v>50000</v>
      </c>
      <c r="H174" s="5"/>
      <c r="I174" s="5" t="s">
        <v>471</v>
      </c>
      <c r="J174" s="5" t="s">
        <v>472</v>
      </c>
    </row>
    <row r="175" spans="1:10" ht="409.6" x14ac:dyDescent="0.3">
      <c r="A175" s="5" t="str">
        <f>HYPERLINK("https://grants.gov/search-results-detail/357589","L25AS00172")</f>
        <v>L25AS00172</v>
      </c>
      <c r="B175" s="5" t="s">
        <v>981</v>
      </c>
      <c r="C175" s="5" t="s">
        <v>206</v>
      </c>
      <c r="D175" s="5" t="s">
        <v>207</v>
      </c>
      <c r="E175" s="6">
        <v>45728</v>
      </c>
      <c r="F175" s="8">
        <v>100000</v>
      </c>
      <c r="G175" s="8">
        <v>10000</v>
      </c>
      <c r="H175" s="5"/>
      <c r="I175" s="5" t="s">
        <v>737</v>
      </c>
      <c r="J175" s="5" t="s">
        <v>247</v>
      </c>
    </row>
    <row r="176" spans="1:10" ht="409.6" x14ac:dyDescent="0.3">
      <c r="A176" s="5" t="str">
        <f>HYPERLINK("https://grants.gov/search-results-detail/357547","L25AS00164")</f>
        <v>L25AS00164</v>
      </c>
      <c r="B176" s="5" t="s">
        <v>1068</v>
      </c>
      <c r="C176" s="5" t="s">
        <v>206</v>
      </c>
      <c r="D176" s="5" t="s">
        <v>207</v>
      </c>
      <c r="E176" s="6">
        <v>45730</v>
      </c>
      <c r="F176" s="8">
        <v>1500000</v>
      </c>
      <c r="G176" s="8">
        <v>1</v>
      </c>
      <c r="H176" s="5"/>
      <c r="I176" s="5" t="s">
        <v>800</v>
      </c>
      <c r="J176" s="5" t="s">
        <v>1069</v>
      </c>
    </row>
    <row r="177" spans="1:10" ht="409.6" x14ac:dyDescent="0.3">
      <c r="A177" s="5" t="str">
        <f>HYPERLINK("https://grants.gov/search-results-detail/357385","L25AS00154")</f>
        <v>L25AS00154</v>
      </c>
      <c r="B177" s="5" t="s">
        <v>1286</v>
      </c>
      <c r="C177" s="5" t="s">
        <v>206</v>
      </c>
      <c r="D177" s="5" t="s">
        <v>207</v>
      </c>
      <c r="E177" s="6">
        <v>45733</v>
      </c>
      <c r="F177" s="8">
        <v>100000</v>
      </c>
      <c r="G177" s="8">
        <v>5000</v>
      </c>
      <c r="H177" s="5"/>
      <c r="I177" s="5" t="s">
        <v>1227</v>
      </c>
      <c r="J177" s="5" t="s">
        <v>1287</v>
      </c>
    </row>
    <row r="178" spans="1:10" ht="409.6" x14ac:dyDescent="0.3">
      <c r="A178" s="5" t="str">
        <f>HYPERLINK("https://grants.gov/search-results-detail/357338","L25AS00153")</f>
        <v>L25AS00153</v>
      </c>
      <c r="B178" s="5" t="s">
        <v>1307</v>
      </c>
      <c r="C178" s="5" t="s">
        <v>206</v>
      </c>
      <c r="D178" s="5" t="s">
        <v>207</v>
      </c>
      <c r="E178" s="6">
        <v>45733</v>
      </c>
      <c r="F178" s="8">
        <v>150000</v>
      </c>
      <c r="G178" s="8">
        <v>5000</v>
      </c>
      <c r="H178" s="5"/>
      <c r="I178" s="5" t="s">
        <v>799</v>
      </c>
      <c r="J178" s="5" t="s">
        <v>1308</v>
      </c>
    </row>
    <row r="179" spans="1:10" ht="409.6" x14ac:dyDescent="0.3">
      <c r="A179" s="5" t="str">
        <f>HYPERLINK("https://grants.gov/search-results-detail/357335","L25AS00126")</f>
        <v>L25AS00126</v>
      </c>
      <c r="B179" s="5" t="s">
        <v>1309</v>
      </c>
      <c r="C179" s="5" t="s">
        <v>206</v>
      </c>
      <c r="D179" s="5" t="s">
        <v>207</v>
      </c>
      <c r="E179" s="6">
        <v>45733</v>
      </c>
      <c r="F179" s="8">
        <v>100000</v>
      </c>
      <c r="G179" s="8">
        <v>5000</v>
      </c>
      <c r="H179" s="5"/>
      <c r="I179" s="5" t="s">
        <v>729</v>
      </c>
      <c r="J179" s="5" t="s">
        <v>250</v>
      </c>
    </row>
    <row r="180" spans="1:10" ht="409.6" x14ac:dyDescent="0.3">
      <c r="A180" s="5" t="str">
        <f>HYPERLINK("https://grants.gov/search-results-detail/357318","L25AS00117")</f>
        <v>L25AS00117</v>
      </c>
      <c r="B180" s="5" t="s">
        <v>1356</v>
      </c>
      <c r="C180" s="5" t="s">
        <v>206</v>
      </c>
      <c r="D180" s="5" t="s">
        <v>207</v>
      </c>
      <c r="E180" s="6">
        <v>45733</v>
      </c>
      <c r="F180" s="8">
        <v>100000</v>
      </c>
      <c r="G180" s="8">
        <v>5000</v>
      </c>
      <c r="H180" s="5"/>
      <c r="I180" s="5" t="s">
        <v>1105</v>
      </c>
      <c r="J180" s="5" t="s">
        <v>1357</v>
      </c>
    </row>
    <row r="181" spans="1:10" ht="409.6" x14ac:dyDescent="0.3">
      <c r="A181" s="5" t="str">
        <f>HYPERLINK("https://grants.gov/search-results-detail/357100","L25AS00115")</f>
        <v>L25AS00115</v>
      </c>
      <c r="B181" s="5" t="s">
        <v>1496</v>
      </c>
      <c r="C181" s="5" t="s">
        <v>206</v>
      </c>
      <c r="D181" s="5" t="s">
        <v>207</v>
      </c>
      <c r="E181" s="6">
        <v>45733</v>
      </c>
      <c r="F181" s="8">
        <v>100000</v>
      </c>
      <c r="G181" s="8">
        <v>5000</v>
      </c>
      <c r="H181" s="5"/>
      <c r="I181" s="5" t="s">
        <v>1497</v>
      </c>
      <c r="J181" s="5" t="s">
        <v>1498</v>
      </c>
    </row>
    <row r="182" spans="1:10" ht="409.6" x14ac:dyDescent="0.3">
      <c r="A182" s="5" t="str">
        <f>HYPERLINK("https://grants.gov/search-results-detail/357013","R25AS00022")</f>
        <v>R25AS00022</v>
      </c>
      <c r="B182" s="5" t="s">
        <v>1533</v>
      </c>
      <c r="C182" s="5" t="s">
        <v>364</v>
      </c>
      <c r="D182" s="5" t="s">
        <v>365</v>
      </c>
      <c r="E182" s="6">
        <v>45691</v>
      </c>
      <c r="F182" s="8">
        <v>100000</v>
      </c>
      <c r="G182" s="8">
        <v>1</v>
      </c>
      <c r="H182" s="5"/>
      <c r="I182" s="5" t="s">
        <v>1534</v>
      </c>
      <c r="J182" s="5" t="s">
        <v>1535</v>
      </c>
    </row>
    <row r="183" spans="1:10" ht="158.4" x14ac:dyDescent="0.3">
      <c r="A183" s="5" t="str">
        <f>HYPERLINK("https://grants.gov/search-results-detail/356930","R25AS00040")</f>
        <v>R25AS00040</v>
      </c>
      <c r="B183" s="5" t="s">
        <v>1578</v>
      </c>
      <c r="C183" s="5" t="s">
        <v>364</v>
      </c>
      <c r="D183" s="5" t="s">
        <v>365</v>
      </c>
      <c r="E183" s="6">
        <v>45699</v>
      </c>
      <c r="F183" s="8">
        <v>5000000</v>
      </c>
      <c r="G183" s="8">
        <v>0</v>
      </c>
      <c r="H183" s="5"/>
      <c r="I183" s="5" t="s">
        <v>599</v>
      </c>
      <c r="J183" s="5" t="s">
        <v>1579</v>
      </c>
    </row>
    <row r="184" spans="1:10" ht="409.6" x14ac:dyDescent="0.3">
      <c r="A184" s="5" t="str">
        <f>HYPERLINK("https://grants.gov/search-results-detail/357776","R25AS00432")</f>
        <v>R25AS00432</v>
      </c>
      <c r="B184" s="5" t="s">
        <v>363</v>
      </c>
      <c r="C184" s="5" t="s">
        <v>364</v>
      </c>
      <c r="D184" s="5" t="s">
        <v>365</v>
      </c>
      <c r="E184" s="6">
        <v>45701</v>
      </c>
      <c r="F184" s="8">
        <v>500000</v>
      </c>
      <c r="G184" s="8">
        <v>0</v>
      </c>
      <c r="H184" s="5"/>
      <c r="I184" s="5" t="s">
        <v>366</v>
      </c>
      <c r="J184" s="5" t="s">
        <v>367</v>
      </c>
    </row>
    <row r="185" spans="1:10" ht="360" x14ac:dyDescent="0.3">
      <c r="A185" s="5" t="str">
        <f>HYPERLINK("https://grants.gov/search-results-detail/357228","R25AS00016")</f>
        <v>R25AS00016</v>
      </c>
      <c r="B185" s="5" t="s">
        <v>1403</v>
      </c>
      <c r="C185" s="5" t="s">
        <v>364</v>
      </c>
      <c r="D185" s="5" t="s">
        <v>365</v>
      </c>
      <c r="E185" s="6">
        <v>45715</v>
      </c>
      <c r="F185" s="8">
        <v>1000000</v>
      </c>
      <c r="G185" s="8">
        <v>0</v>
      </c>
      <c r="H185" s="5">
        <v>20</v>
      </c>
      <c r="I185" s="5" t="s">
        <v>1404</v>
      </c>
      <c r="J185" s="5" t="s">
        <v>1405</v>
      </c>
    </row>
    <row r="186" spans="1:10" ht="403.2" x14ac:dyDescent="0.3">
      <c r="A186" s="5" t="str">
        <f>HYPERLINK("https://grants.gov/search-results-detail/357697","R25AS00038")</f>
        <v>R25AS00038</v>
      </c>
      <c r="B186" s="5" t="s">
        <v>869</v>
      </c>
      <c r="C186" s="5" t="s">
        <v>364</v>
      </c>
      <c r="D186" s="5" t="s">
        <v>365</v>
      </c>
      <c r="E186" s="6">
        <v>45727</v>
      </c>
      <c r="F186" s="8">
        <v>400000</v>
      </c>
      <c r="G186" s="8">
        <v>1</v>
      </c>
      <c r="H186" s="5"/>
      <c r="I186" s="5" t="s">
        <v>870</v>
      </c>
      <c r="J186" s="5" t="s">
        <v>871</v>
      </c>
    </row>
    <row r="187" spans="1:10" ht="409.6" x14ac:dyDescent="0.3">
      <c r="A187" s="5" t="str">
        <f>HYPERLINK("https://grants.gov/search-results-detail/353621","R24AS00299")</f>
        <v>R24AS00299</v>
      </c>
      <c r="B187" s="5" t="s">
        <v>2035</v>
      </c>
      <c r="C187" s="5" t="s">
        <v>364</v>
      </c>
      <c r="D187" s="5" t="s">
        <v>365</v>
      </c>
      <c r="E187" s="6">
        <v>45727</v>
      </c>
      <c r="F187" s="8">
        <v>5000000</v>
      </c>
      <c r="G187" s="8">
        <v>0</v>
      </c>
      <c r="H187" s="5"/>
      <c r="I187" s="5" t="s">
        <v>2036</v>
      </c>
      <c r="J187" s="5" t="s">
        <v>2037</v>
      </c>
    </row>
    <row r="188" spans="1:10" ht="409.6" x14ac:dyDescent="0.3">
      <c r="A188" s="5" t="str">
        <f>HYPERLINK("https://grants.gov/search-results-detail/350116","R23AS00433")</f>
        <v>R23AS00433</v>
      </c>
      <c r="B188" s="5" t="s">
        <v>2212</v>
      </c>
      <c r="C188" s="5" t="s">
        <v>364</v>
      </c>
      <c r="D188" s="5" t="s">
        <v>365</v>
      </c>
      <c r="E188" s="6">
        <v>45754</v>
      </c>
      <c r="F188" s="8">
        <v>132750000</v>
      </c>
      <c r="G188" s="8">
        <v>0</v>
      </c>
      <c r="H188" s="5">
        <v>10</v>
      </c>
      <c r="I188" s="5" t="s">
        <v>2213</v>
      </c>
      <c r="J188" s="5" t="s">
        <v>2214</v>
      </c>
    </row>
    <row r="189" spans="1:10" ht="409.6" x14ac:dyDescent="0.3">
      <c r="A189" s="5" t="str">
        <f>HYPERLINK("https://grants.gov/search-results-detail/357615","R25AS00029")</f>
        <v>R25AS00029</v>
      </c>
      <c r="B189" s="5" t="s">
        <v>945</v>
      </c>
      <c r="C189" s="5" t="s">
        <v>364</v>
      </c>
      <c r="D189" s="5" t="s">
        <v>365</v>
      </c>
      <c r="E189" s="6">
        <v>45762</v>
      </c>
      <c r="F189" s="8">
        <v>10000000</v>
      </c>
      <c r="G189" s="8">
        <v>500000</v>
      </c>
      <c r="H189" s="5">
        <v>20</v>
      </c>
      <c r="I189" s="5" t="s">
        <v>946</v>
      </c>
      <c r="J189" s="5" t="s">
        <v>947</v>
      </c>
    </row>
    <row r="190" spans="1:10" ht="409.6" x14ac:dyDescent="0.3">
      <c r="A190" s="5" t="str">
        <f>HYPERLINK("https://grants.gov/search-results-detail/350838","F24AS00129")</f>
        <v>F24AS00129</v>
      </c>
      <c r="B190" s="5" t="s">
        <v>2187</v>
      </c>
      <c r="C190" s="5" t="s">
        <v>955</v>
      </c>
      <c r="D190" s="5" t="s">
        <v>956</v>
      </c>
      <c r="E190" s="6">
        <v>45688</v>
      </c>
      <c r="F190" s="8">
        <v>2000000</v>
      </c>
      <c r="G190" s="8">
        <v>5000</v>
      </c>
      <c r="H190" s="5"/>
      <c r="I190" s="5" t="s">
        <v>2188</v>
      </c>
      <c r="J190" s="5" t="s">
        <v>2189</v>
      </c>
    </row>
    <row r="191" spans="1:10" ht="409.6" x14ac:dyDescent="0.3">
      <c r="A191" s="5" t="str">
        <f>HYPERLINK("https://grants.gov/search-results-detail/357537","F25AS00376")</f>
        <v>F25AS00376</v>
      </c>
      <c r="B191" s="5" t="s">
        <v>1070</v>
      </c>
      <c r="C191" s="5" t="s">
        <v>955</v>
      </c>
      <c r="D191" s="5" t="s">
        <v>956</v>
      </c>
      <c r="E191" s="6">
        <v>45692</v>
      </c>
      <c r="F191" s="8">
        <v>5300000</v>
      </c>
      <c r="G191" s="8">
        <v>3000000</v>
      </c>
      <c r="H191" s="5"/>
      <c r="I191" s="5" t="s">
        <v>1071</v>
      </c>
      <c r="J191" s="5" t="s">
        <v>1072</v>
      </c>
    </row>
    <row r="192" spans="1:10" ht="388.8" x14ac:dyDescent="0.3">
      <c r="A192" s="5" t="str">
        <f>HYPERLINK("https://grants.gov/search-results-detail/357128","F25AS00099")</f>
        <v>F25AS00099</v>
      </c>
      <c r="B192" s="5" t="s">
        <v>1487</v>
      </c>
      <c r="C192" s="5" t="s">
        <v>955</v>
      </c>
      <c r="D192" s="5" t="s">
        <v>956</v>
      </c>
      <c r="E192" s="6">
        <v>45713</v>
      </c>
      <c r="F192" s="8">
        <v>1000000</v>
      </c>
      <c r="G192" s="8">
        <v>25000</v>
      </c>
      <c r="H192" s="5"/>
      <c r="I192" s="5" t="s">
        <v>1488</v>
      </c>
      <c r="J192" s="5" t="s">
        <v>1489</v>
      </c>
    </row>
    <row r="193" spans="1:10" ht="409.6" x14ac:dyDescent="0.3">
      <c r="A193" s="5" t="str">
        <f>HYPERLINK("https://grants.gov/search-results-detail/357633","F25AS00133")</f>
        <v>F25AS00133</v>
      </c>
      <c r="B193" s="5" t="s">
        <v>954</v>
      </c>
      <c r="C193" s="5" t="s">
        <v>955</v>
      </c>
      <c r="D193" s="5" t="s">
        <v>956</v>
      </c>
      <c r="E193" s="6">
        <v>45715</v>
      </c>
      <c r="F193" s="8">
        <v>750000</v>
      </c>
      <c r="G193" s="8">
        <v>250000</v>
      </c>
      <c r="H193" s="5"/>
      <c r="I193" s="5" t="s">
        <v>957</v>
      </c>
      <c r="J193" s="5" t="s">
        <v>958</v>
      </c>
    </row>
    <row r="194" spans="1:10" ht="129.6" x14ac:dyDescent="0.3">
      <c r="A194" s="5" t="str">
        <f>HYPERLINK("https://grants.gov/search-results-detail/42048","FWS-R4-FLEXFUND")</f>
        <v>FWS-R4-FLEXFUND</v>
      </c>
      <c r="B194" s="5" t="s">
        <v>2874</v>
      </c>
      <c r="C194" s="5" t="s">
        <v>2875</v>
      </c>
      <c r="D194" s="5" t="s">
        <v>2876</v>
      </c>
      <c r="E194" s="5"/>
      <c r="F194" s="8">
        <v>300000</v>
      </c>
      <c r="G194" s="8">
        <v>1</v>
      </c>
      <c r="H194" s="5">
        <v>25</v>
      </c>
      <c r="I194" s="5" t="s">
        <v>2877</v>
      </c>
      <c r="J194" s="5" t="s">
        <v>2878</v>
      </c>
    </row>
    <row r="195" spans="1:10" ht="316.8" x14ac:dyDescent="0.3">
      <c r="A195" s="5" t="str">
        <f>HYPERLINK("https://grants.gov/search-results-detail/357507","D25AS00131")</f>
        <v>D25AS00131</v>
      </c>
      <c r="B195" s="5" t="s">
        <v>1142</v>
      </c>
      <c r="C195" s="5" t="s">
        <v>1143</v>
      </c>
      <c r="D195" s="5" t="s">
        <v>1144</v>
      </c>
      <c r="E195" s="6">
        <v>45714</v>
      </c>
      <c r="F195" s="8">
        <v>500000</v>
      </c>
      <c r="G195" s="8">
        <v>10000</v>
      </c>
      <c r="H195" s="5"/>
      <c r="I195" s="5" t="s">
        <v>1145</v>
      </c>
      <c r="J195" s="5" t="s">
        <v>1146</v>
      </c>
    </row>
    <row r="196" spans="1:10" ht="201.6" x14ac:dyDescent="0.3">
      <c r="A196" s="5" t="str">
        <f>HYPERLINK("https://grants.gov/search-results-detail/357095","P24AS00547")</f>
        <v>P24AS00547</v>
      </c>
      <c r="B196" s="5" t="s">
        <v>1499</v>
      </c>
      <c r="C196" s="5" t="s">
        <v>319</v>
      </c>
      <c r="D196" s="5" t="s">
        <v>320</v>
      </c>
      <c r="E196" s="6">
        <v>45685</v>
      </c>
      <c r="F196" s="8">
        <v>750000</v>
      </c>
      <c r="G196" s="8">
        <v>50000</v>
      </c>
      <c r="H196" s="5"/>
      <c r="I196" s="5" t="s">
        <v>1500</v>
      </c>
      <c r="J196" s="5" t="s">
        <v>1501</v>
      </c>
    </row>
    <row r="197" spans="1:10" ht="403.2" x14ac:dyDescent="0.3">
      <c r="A197" s="5" t="str">
        <f>HYPERLINK("https://grants.gov/search-results-detail/356498","P24AS00147")</f>
        <v>P24AS00147</v>
      </c>
      <c r="B197" s="5" t="s">
        <v>1863</v>
      </c>
      <c r="C197" s="5" t="s">
        <v>319</v>
      </c>
      <c r="D197" s="5" t="s">
        <v>320</v>
      </c>
      <c r="E197" s="6">
        <v>45692</v>
      </c>
      <c r="F197" s="8">
        <v>250000</v>
      </c>
      <c r="G197" s="8">
        <v>50000</v>
      </c>
      <c r="H197" s="5"/>
      <c r="I197" s="5" t="s">
        <v>1864</v>
      </c>
      <c r="J197" s="5" t="s">
        <v>1865</v>
      </c>
    </row>
    <row r="198" spans="1:10" ht="409.6" x14ac:dyDescent="0.3">
      <c r="A198" s="5" t="str">
        <f>HYPERLINK("https://grants.gov/search-results-detail/356497","P24AS00504")</f>
        <v>P24AS00504</v>
      </c>
      <c r="B198" s="5" t="s">
        <v>1871</v>
      </c>
      <c r="C198" s="5" t="s">
        <v>319</v>
      </c>
      <c r="D198" s="5" t="s">
        <v>320</v>
      </c>
      <c r="E198" s="6">
        <v>45692</v>
      </c>
      <c r="F198" s="8">
        <v>750000</v>
      </c>
      <c r="G198" s="8">
        <v>100000</v>
      </c>
      <c r="H198" s="5"/>
      <c r="I198" s="5" t="s">
        <v>1872</v>
      </c>
      <c r="J198" s="5" t="s">
        <v>1873</v>
      </c>
    </row>
    <row r="199" spans="1:10" ht="129.6" x14ac:dyDescent="0.3">
      <c r="A199" s="5" t="str">
        <f>HYPERLINK("https://grants.gov/search-results-detail/357628","P25AS00187")</f>
        <v>P25AS00187</v>
      </c>
      <c r="B199" s="5" t="s">
        <v>939</v>
      </c>
      <c r="C199" s="5" t="s">
        <v>319</v>
      </c>
      <c r="D199" s="5" t="s">
        <v>320</v>
      </c>
      <c r="E199" s="6">
        <v>45696</v>
      </c>
      <c r="F199" s="8">
        <v>0</v>
      </c>
      <c r="G199" s="8">
        <v>0</v>
      </c>
      <c r="H199" s="5"/>
      <c r="I199" s="5" t="s">
        <v>940</v>
      </c>
      <c r="J199" s="5" t="s">
        <v>941</v>
      </c>
    </row>
    <row r="200" spans="1:10" ht="158.4" x14ac:dyDescent="0.3">
      <c r="A200" s="5" t="str">
        <f>HYPERLINK("https://grants.gov/search-results-detail/357510","P24AS00549")</f>
        <v>P24AS00549</v>
      </c>
      <c r="B200" s="5" t="s">
        <v>1136</v>
      </c>
      <c r="C200" s="5" t="s">
        <v>319</v>
      </c>
      <c r="D200" s="5" t="s">
        <v>320</v>
      </c>
      <c r="E200" s="6">
        <v>45715</v>
      </c>
      <c r="F200" s="8">
        <v>75000</v>
      </c>
      <c r="G200" s="8">
        <v>15000</v>
      </c>
      <c r="H200" s="5"/>
      <c r="I200" s="5" t="s">
        <v>1137</v>
      </c>
      <c r="J200" s="5" t="s">
        <v>1138</v>
      </c>
    </row>
    <row r="201" spans="1:10" ht="316.8" x14ac:dyDescent="0.3">
      <c r="A201" s="5" t="str">
        <f>HYPERLINK("https://grants.gov/search-results-detail/358002","P25AS00212")</f>
        <v>P25AS00212</v>
      </c>
      <c r="B201" s="5" t="s">
        <v>676</v>
      </c>
      <c r="C201" s="5" t="s">
        <v>319</v>
      </c>
      <c r="D201" s="5" t="s">
        <v>320</v>
      </c>
      <c r="E201" s="6">
        <v>45720</v>
      </c>
      <c r="F201" s="8">
        <v>50000</v>
      </c>
      <c r="G201" s="8">
        <v>1</v>
      </c>
      <c r="H201" s="5"/>
      <c r="I201" s="5" t="s">
        <v>677</v>
      </c>
      <c r="J201" s="5" t="s">
        <v>678</v>
      </c>
    </row>
    <row r="202" spans="1:10" ht="216" x14ac:dyDescent="0.3">
      <c r="A202" s="5" t="str">
        <f>HYPERLINK("https://grants.gov/search-results-detail/357790","P24AS00546")</f>
        <v>P24AS00546</v>
      </c>
      <c r="B202" s="5" t="s">
        <v>318</v>
      </c>
      <c r="C202" s="5" t="s">
        <v>319</v>
      </c>
      <c r="D202" s="5" t="s">
        <v>320</v>
      </c>
      <c r="E202" s="6">
        <v>45734</v>
      </c>
      <c r="F202" s="8">
        <v>750000</v>
      </c>
      <c r="G202" s="8">
        <v>15000</v>
      </c>
      <c r="H202" s="5"/>
      <c r="I202" s="5" t="s">
        <v>761</v>
      </c>
      <c r="J202" s="5" t="s">
        <v>321</v>
      </c>
    </row>
    <row r="203" spans="1:10" ht="409.6" x14ac:dyDescent="0.3">
      <c r="A203" s="5" t="str">
        <f>HYPERLINK("https://grants.gov/search-results-detail/357990","P25AS00476")</f>
        <v>P25AS00476</v>
      </c>
      <c r="B203" s="5" t="s">
        <v>659</v>
      </c>
      <c r="C203" s="5" t="s">
        <v>319</v>
      </c>
      <c r="D203" s="5" t="s">
        <v>320</v>
      </c>
      <c r="E203" s="6">
        <v>45747</v>
      </c>
      <c r="F203" s="8">
        <v>200000</v>
      </c>
      <c r="G203" s="8">
        <v>20000</v>
      </c>
      <c r="H203" s="5"/>
      <c r="I203" s="5" t="s">
        <v>660</v>
      </c>
      <c r="J203" s="5" t="s">
        <v>661</v>
      </c>
    </row>
    <row r="204" spans="1:10" ht="388.8" x14ac:dyDescent="0.3">
      <c r="A204" s="5" t="str">
        <f>HYPERLINK("https://grants.gov/search-results-detail/357999","P25AS00464")</f>
        <v>P25AS00464</v>
      </c>
      <c r="B204" s="5" t="s">
        <v>670</v>
      </c>
      <c r="C204" s="5" t="s">
        <v>319</v>
      </c>
      <c r="D204" s="5" t="s">
        <v>320</v>
      </c>
      <c r="E204" s="6">
        <v>45747</v>
      </c>
      <c r="F204" s="8">
        <v>150000</v>
      </c>
      <c r="G204" s="8">
        <v>5000</v>
      </c>
      <c r="H204" s="5"/>
      <c r="I204" s="5" t="s">
        <v>671</v>
      </c>
      <c r="J204" s="5" t="s">
        <v>672</v>
      </c>
    </row>
    <row r="205" spans="1:10" ht="115.2" x14ac:dyDescent="0.3">
      <c r="A205" s="5" t="str">
        <f>HYPERLINK("https://grants.gov/search-results-detail/286105","P16AS00322")</f>
        <v>P16AS00322</v>
      </c>
      <c r="B205" s="5" t="s">
        <v>2742</v>
      </c>
      <c r="C205" s="5" t="s">
        <v>319</v>
      </c>
      <c r="D205" s="5" t="s">
        <v>320</v>
      </c>
      <c r="E205" s="5"/>
      <c r="F205" s="8">
        <v>89987</v>
      </c>
      <c r="G205" s="8">
        <v>1</v>
      </c>
      <c r="H205" s="5"/>
      <c r="I205" s="5" t="s">
        <v>328</v>
      </c>
      <c r="J205" s="5" t="s">
        <v>2743</v>
      </c>
    </row>
    <row r="206" spans="1:10" ht="43.2" x14ac:dyDescent="0.3">
      <c r="A206" s="5" t="str">
        <f>HYPERLINK("https://grants.gov/search-results-detail/141593","P12AC10113")</f>
        <v>P12AC10113</v>
      </c>
      <c r="B206" s="5" t="s">
        <v>2822</v>
      </c>
      <c r="C206" s="5" t="s">
        <v>319</v>
      </c>
      <c r="D206" s="5" t="s">
        <v>320</v>
      </c>
      <c r="E206" s="5"/>
      <c r="F206" s="8">
        <v>55746</v>
      </c>
      <c r="G206" s="8" t="s">
        <v>8</v>
      </c>
      <c r="H206" s="5">
        <v>1</v>
      </c>
      <c r="I206" s="5" t="s">
        <v>2823</v>
      </c>
      <c r="J206" s="5" t="s">
        <v>2824</v>
      </c>
    </row>
    <row r="207" spans="1:10" ht="172.8" x14ac:dyDescent="0.3">
      <c r="A207" s="5" t="str">
        <f>HYPERLINK("https://grants.gov/search-results-detail/113293","P11AT80708")</f>
        <v>P11AT80708</v>
      </c>
      <c r="B207" s="5" t="s">
        <v>2828</v>
      </c>
      <c r="C207" s="5" t="s">
        <v>319</v>
      </c>
      <c r="D207" s="5" t="s">
        <v>320</v>
      </c>
      <c r="E207" s="5"/>
      <c r="F207" s="8" t="s">
        <v>8</v>
      </c>
      <c r="G207" s="8" t="s">
        <v>8</v>
      </c>
      <c r="H207" s="5">
        <v>1</v>
      </c>
      <c r="I207" s="5" t="s">
        <v>2829</v>
      </c>
      <c r="J207" s="5" t="s">
        <v>2830</v>
      </c>
    </row>
    <row r="208" spans="1:10" ht="244.8" x14ac:dyDescent="0.3">
      <c r="A208" s="5" t="str">
        <f>HYPERLINK("https://grants.gov/search-results-detail/356528","G25AS00032")</f>
        <v>G25AS00032</v>
      </c>
      <c r="B208" s="5" t="s">
        <v>1858</v>
      </c>
      <c r="C208" s="5" t="s">
        <v>1764</v>
      </c>
      <c r="D208" s="5" t="s">
        <v>1765</v>
      </c>
      <c r="E208" s="6">
        <v>45672</v>
      </c>
      <c r="F208" s="8">
        <v>250000</v>
      </c>
      <c r="G208" s="8">
        <v>10000</v>
      </c>
      <c r="H208" s="5"/>
      <c r="I208" s="5" t="s">
        <v>1859</v>
      </c>
      <c r="J208" s="5" t="s">
        <v>1860</v>
      </c>
    </row>
    <row r="209" spans="1:10" ht="409.6" x14ac:dyDescent="0.3">
      <c r="A209" s="5" t="str">
        <f>HYPERLINK("https://grants.gov/search-results-detail/356689","G25AS00001")</f>
        <v>G25AS00001</v>
      </c>
      <c r="B209" s="5" t="s">
        <v>1763</v>
      </c>
      <c r="C209" s="5" t="s">
        <v>1764</v>
      </c>
      <c r="D209" s="5" t="s">
        <v>1765</v>
      </c>
      <c r="E209" s="6">
        <v>45673</v>
      </c>
      <c r="F209" s="8">
        <v>300000</v>
      </c>
      <c r="G209" s="8">
        <v>5000</v>
      </c>
      <c r="H209" s="5"/>
      <c r="I209" s="5" t="s">
        <v>1766</v>
      </c>
      <c r="J209" s="5" t="s">
        <v>1767</v>
      </c>
    </row>
    <row r="210" spans="1:10" ht="409.6" x14ac:dyDescent="0.3">
      <c r="A210" s="5" t="str">
        <f>HYPERLINK("https://grants.gov/search-results-detail/356586","G25AS00457")</f>
        <v>G25AS00457</v>
      </c>
      <c r="B210" s="5" t="s">
        <v>1842</v>
      </c>
      <c r="C210" s="5" t="s">
        <v>1764</v>
      </c>
      <c r="D210" s="5" t="s">
        <v>1765</v>
      </c>
      <c r="E210" s="6">
        <v>45691</v>
      </c>
      <c r="F210" s="8">
        <v>24050000</v>
      </c>
      <c r="G210" s="8">
        <v>0</v>
      </c>
      <c r="H210" s="5">
        <v>3</v>
      </c>
      <c r="I210" s="5" t="s">
        <v>1843</v>
      </c>
      <c r="J210" s="5" t="s">
        <v>1844</v>
      </c>
    </row>
    <row r="211" spans="1:10" ht="43.2" x14ac:dyDescent="0.3">
      <c r="A211" s="5" t="str">
        <f>HYPERLINK("https://grants.gov/search-results-detail/294523","USGS-17-FA-0222")</f>
        <v>USGS-17-FA-0222</v>
      </c>
      <c r="B211" s="5" t="s">
        <v>2724</v>
      </c>
      <c r="C211" s="5" t="s">
        <v>1764</v>
      </c>
      <c r="D211" s="5" t="s">
        <v>1765</v>
      </c>
      <c r="E211" s="5"/>
      <c r="F211" s="8">
        <v>35000</v>
      </c>
      <c r="G211" s="8">
        <v>1</v>
      </c>
      <c r="H211" s="5">
        <v>1</v>
      </c>
      <c r="I211" s="5" t="s">
        <v>2725</v>
      </c>
      <c r="J211" s="5" t="s">
        <v>2726</v>
      </c>
    </row>
    <row r="212" spans="1:10" ht="72" x14ac:dyDescent="0.3">
      <c r="A212" s="5" t="str">
        <f>HYPERLINK("https://grants.gov/search-results-detail/278692","USGS-15-FA-0426")</f>
        <v>USGS-15-FA-0426</v>
      </c>
      <c r="B212" s="5" t="s">
        <v>2752</v>
      </c>
      <c r="C212" s="5" t="s">
        <v>1764</v>
      </c>
      <c r="D212" s="5" t="s">
        <v>1765</v>
      </c>
      <c r="E212" s="5"/>
      <c r="F212" s="8">
        <v>325000</v>
      </c>
      <c r="G212" s="8">
        <v>10000</v>
      </c>
      <c r="H212" s="5">
        <v>1</v>
      </c>
      <c r="I212" s="5" t="s">
        <v>2753</v>
      </c>
      <c r="J212" s="5" t="s">
        <v>2754</v>
      </c>
    </row>
    <row r="213" spans="1:10" ht="144" x14ac:dyDescent="0.3">
      <c r="A213" s="5" t="str">
        <f>HYPERLINK("https://grants.gov/search-results-detail/355955","TEGL-02-24")</f>
        <v>TEGL-02-24</v>
      </c>
      <c r="B213" s="5" t="s">
        <v>1917</v>
      </c>
      <c r="C213" s="5" t="s">
        <v>361</v>
      </c>
      <c r="D213" s="5" t="s">
        <v>362</v>
      </c>
      <c r="E213" s="6">
        <v>45688</v>
      </c>
      <c r="F213" s="8">
        <v>6000000</v>
      </c>
      <c r="G213" s="8">
        <v>10000</v>
      </c>
      <c r="H213" s="5">
        <v>128</v>
      </c>
      <c r="I213" s="5" t="s">
        <v>1918</v>
      </c>
      <c r="J213" s="5" t="s">
        <v>1919</v>
      </c>
    </row>
    <row r="214" spans="1:10" ht="409.6" x14ac:dyDescent="0.3">
      <c r="A214" s="5" t="str">
        <f>HYPERLINK("https://grants.gov/search-results-detail/357576","FOA-ETA-25-35")</f>
        <v>FOA-ETA-25-35</v>
      </c>
      <c r="B214" s="5" t="s">
        <v>1044</v>
      </c>
      <c r="C214" s="5" t="s">
        <v>361</v>
      </c>
      <c r="D214" s="5" t="s">
        <v>362</v>
      </c>
      <c r="E214" s="6">
        <v>45692</v>
      </c>
      <c r="F214" s="8">
        <v>1500000</v>
      </c>
      <c r="G214" s="8">
        <v>0</v>
      </c>
      <c r="H214" s="5">
        <v>1</v>
      </c>
      <c r="I214" s="5" t="s">
        <v>1045</v>
      </c>
      <c r="J214" s="5" t="s">
        <v>1046</v>
      </c>
    </row>
    <row r="215" spans="1:10" ht="409.6" x14ac:dyDescent="0.3">
      <c r="A215" s="5" t="str">
        <f>HYPERLINK("https://grants.gov/search-results-detail/357759","PAS-AR200-FY25-02")</f>
        <v>PAS-AR200-FY25-02</v>
      </c>
      <c r="B215" s="5" t="s">
        <v>322</v>
      </c>
      <c r="C215" s="5" t="s">
        <v>187</v>
      </c>
      <c r="D215" s="5" t="s">
        <v>188</v>
      </c>
      <c r="E215" s="6">
        <v>45695</v>
      </c>
      <c r="F215" s="8">
        <v>250000</v>
      </c>
      <c r="G215" s="8">
        <v>100000</v>
      </c>
      <c r="H215" s="5">
        <v>1</v>
      </c>
      <c r="I215" s="5" t="s">
        <v>323</v>
      </c>
      <c r="J215" s="5" t="s">
        <v>324</v>
      </c>
    </row>
    <row r="216" spans="1:10" ht="409.6" x14ac:dyDescent="0.3">
      <c r="A216" s="5" t="str">
        <f>HYPERLINK("https://grants.gov/search-results-detail/357853","PAS-AR200-FY25-04")</f>
        <v>PAS-AR200-FY25-04</v>
      </c>
      <c r="B216" s="5" t="s">
        <v>186</v>
      </c>
      <c r="C216" s="5" t="s">
        <v>187</v>
      </c>
      <c r="D216" s="5" t="s">
        <v>188</v>
      </c>
      <c r="E216" s="6">
        <v>45716</v>
      </c>
      <c r="F216" s="8">
        <v>100000</v>
      </c>
      <c r="G216" s="8">
        <v>10000</v>
      </c>
      <c r="H216" s="5"/>
      <c r="I216" s="5" t="s">
        <v>189</v>
      </c>
      <c r="J216" s="5" t="s">
        <v>190</v>
      </c>
    </row>
    <row r="217" spans="1:10" ht="172.8" x14ac:dyDescent="0.3">
      <c r="A217" s="5" t="str">
        <f>HYPERLINK("https://grants.gov/search-results-detail/290351","PAS-AUS-FY2017-1")</f>
        <v>PAS-AUS-FY2017-1</v>
      </c>
      <c r="B217" s="5" t="s">
        <v>2734</v>
      </c>
      <c r="C217" s="5" t="s">
        <v>2735</v>
      </c>
      <c r="D217" s="5" t="s">
        <v>2736</v>
      </c>
      <c r="E217" s="5"/>
      <c r="F217" s="8">
        <v>15000</v>
      </c>
      <c r="G217" s="8">
        <v>5000</v>
      </c>
      <c r="H217" s="5"/>
      <c r="I217" s="5" t="s">
        <v>2737</v>
      </c>
      <c r="J217" s="5" t="s">
        <v>2738</v>
      </c>
    </row>
    <row r="218" spans="1:10" ht="409.6" x14ac:dyDescent="0.3">
      <c r="A218" s="5" t="str">
        <f>HYPERLINK("https://grants.gov/search-results-detail/357326","2025-BF-AEIF")</f>
        <v>2025-BF-AEIF</v>
      </c>
      <c r="B218" s="5" t="s">
        <v>123</v>
      </c>
      <c r="C218" s="5" t="s">
        <v>1312</v>
      </c>
      <c r="D218" s="5" t="s">
        <v>1313</v>
      </c>
      <c r="E218" s="6">
        <v>45688</v>
      </c>
      <c r="F218" s="8">
        <v>35000</v>
      </c>
      <c r="G218" s="8">
        <v>5000</v>
      </c>
      <c r="H218" s="5">
        <v>3</v>
      </c>
      <c r="I218" s="5" t="s">
        <v>1314</v>
      </c>
      <c r="J218" s="5" t="s">
        <v>1315</v>
      </c>
    </row>
    <row r="219" spans="1:10" ht="409.6" x14ac:dyDescent="0.3">
      <c r="A219" s="5" t="str">
        <f>HYPERLINK("https://grants.gov/search-results-detail/357501","PDS-DHAKA-NOFO-FY2025-02")</f>
        <v>PDS-DHAKA-NOFO-FY2025-02</v>
      </c>
      <c r="B219" s="5" t="s">
        <v>1149</v>
      </c>
      <c r="C219" s="5" t="s">
        <v>1150</v>
      </c>
      <c r="D219" s="5" t="s">
        <v>1151</v>
      </c>
      <c r="E219" s="6">
        <v>45672</v>
      </c>
      <c r="F219" s="8">
        <v>35000</v>
      </c>
      <c r="G219" s="8">
        <v>25000</v>
      </c>
      <c r="H219" s="5">
        <v>1</v>
      </c>
      <c r="I219" s="5" t="s">
        <v>1152</v>
      </c>
      <c r="J219" s="5" t="s">
        <v>1153</v>
      </c>
    </row>
    <row r="220" spans="1:10" ht="409.6" x14ac:dyDescent="0.3">
      <c r="A220" s="5" t="str">
        <f>HYPERLINK("https://grants.gov/search-results-detail/357336","BH20024GR200WHA")</f>
        <v>BH20024GR200WHA</v>
      </c>
      <c r="B220" s="5" t="s">
        <v>1326</v>
      </c>
      <c r="C220" s="5" t="s">
        <v>1327</v>
      </c>
      <c r="D220" s="5" t="s">
        <v>1328</v>
      </c>
      <c r="E220" s="6">
        <v>45692</v>
      </c>
      <c r="F220" s="8">
        <v>250000</v>
      </c>
      <c r="G220" s="8">
        <v>150000</v>
      </c>
      <c r="H220" s="5">
        <v>3</v>
      </c>
      <c r="I220" s="5" t="s">
        <v>1329</v>
      </c>
      <c r="J220" s="5" t="s">
        <v>1330</v>
      </c>
    </row>
    <row r="221" spans="1:10" ht="409.6" x14ac:dyDescent="0.3">
      <c r="A221" s="5" t="str">
        <f>HYPERLINK("https://grants.gov/search-results-detail/357719","PD-FY25-CANADA-AWE")</f>
        <v>PD-FY25-CANADA-AWE</v>
      </c>
      <c r="B221" s="5" t="s">
        <v>374</v>
      </c>
      <c r="C221" s="5" t="s">
        <v>375</v>
      </c>
      <c r="D221" s="5" t="s">
        <v>376</v>
      </c>
      <c r="E221" s="6">
        <v>45672</v>
      </c>
      <c r="F221" s="8">
        <v>35000</v>
      </c>
      <c r="G221" s="8">
        <v>25000</v>
      </c>
      <c r="H221" s="5">
        <v>1</v>
      </c>
      <c r="I221" s="5" t="s">
        <v>377</v>
      </c>
      <c r="J221" s="5" t="s">
        <v>378</v>
      </c>
    </row>
    <row r="222" spans="1:10" ht="409.6" x14ac:dyDescent="0.3">
      <c r="A222" s="5" t="str">
        <f>HYPERLINK("https://grants.gov/search-results-detail/357647","PD-FY25-CANADA-AEIF")</f>
        <v>PD-FY25-CANADA-AEIF</v>
      </c>
      <c r="B222" s="5" t="s">
        <v>811</v>
      </c>
      <c r="C222" s="5" t="s">
        <v>375</v>
      </c>
      <c r="D222" s="5" t="s">
        <v>376</v>
      </c>
      <c r="E222" s="6">
        <v>45716</v>
      </c>
      <c r="F222" s="8">
        <v>35000</v>
      </c>
      <c r="G222" s="8">
        <v>5000</v>
      </c>
      <c r="H222" s="5">
        <v>3</v>
      </c>
      <c r="I222" s="5" t="s">
        <v>812</v>
      </c>
      <c r="J222" s="5" t="s">
        <v>813</v>
      </c>
    </row>
    <row r="223" spans="1:10" ht="360" x14ac:dyDescent="0.3">
      <c r="A223" s="5" t="str">
        <f>HYPERLINK("https://grants.gov/search-results-detail/357952","AF-DRC-PDS-FY25-02")</f>
        <v>AF-DRC-PDS-FY25-02</v>
      </c>
      <c r="B223" s="5" t="s">
        <v>41</v>
      </c>
      <c r="C223" s="5" t="s">
        <v>42</v>
      </c>
      <c r="D223" s="5" t="s">
        <v>43</v>
      </c>
      <c r="E223" s="6">
        <v>45705</v>
      </c>
      <c r="F223" s="8">
        <v>35000</v>
      </c>
      <c r="G223" s="8">
        <v>35000</v>
      </c>
      <c r="H223" s="5">
        <v>1</v>
      </c>
      <c r="I223" s="5" t="s">
        <v>44</v>
      </c>
      <c r="J223" s="5" t="s">
        <v>45</v>
      </c>
    </row>
    <row r="224" spans="1:10" ht="345.6" x14ac:dyDescent="0.3">
      <c r="A224" s="5" t="str">
        <f>HYPERLINK("https://grants.gov/search-results-detail/357955","AF-DRC-PDS-FY25-05")</f>
        <v>AF-DRC-PDS-FY25-05</v>
      </c>
      <c r="B224" s="5" t="s">
        <v>46</v>
      </c>
      <c r="C224" s="5" t="s">
        <v>42</v>
      </c>
      <c r="D224" s="5" t="s">
        <v>43</v>
      </c>
      <c r="E224" s="6">
        <v>45705</v>
      </c>
      <c r="F224" s="8">
        <v>100000</v>
      </c>
      <c r="G224" s="8">
        <v>100000</v>
      </c>
      <c r="H224" s="5">
        <v>1</v>
      </c>
      <c r="I224" s="5" t="s">
        <v>47</v>
      </c>
      <c r="J224" s="5" t="s">
        <v>48</v>
      </c>
    </row>
    <row r="225" spans="1:10" ht="273.60000000000002" x14ac:dyDescent="0.3">
      <c r="A225" s="5" t="str">
        <f>HYPERLINK("https://grants.gov/search-results-detail/357950","AF-DRC-PDS-FY25-01")</f>
        <v>AF-DRC-PDS-FY25-01</v>
      </c>
      <c r="B225" s="5" t="s">
        <v>49</v>
      </c>
      <c r="C225" s="5" t="s">
        <v>42</v>
      </c>
      <c r="D225" s="5" t="s">
        <v>43</v>
      </c>
      <c r="E225" s="6">
        <v>45747</v>
      </c>
      <c r="F225" s="8">
        <v>25000</v>
      </c>
      <c r="G225" s="8">
        <v>2000</v>
      </c>
      <c r="H225" s="5">
        <v>10</v>
      </c>
      <c r="I225" s="5" t="s">
        <v>50</v>
      </c>
      <c r="J225" s="5" t="s">
        <v>51</v>
      </c>
    </row>
    <row r="226" spans="1:10" ht="409.6" x14ac:dyDescent="0.3">
      <c r="A226" s="5" t="str">
        <f>HYPERLINK("https://grants.gov/search-results-detail/325599","AFPRA-20-04")</f>
        <v>AFPRA-20-04</v>
      </c>
      <c r="B226" s="5" t="s">
        <v>2593</v>
      </c>
      <c r="C226" s="5" t="s">
        <v>2594</v>
      </c>
      <c r="D226" s="5" t="s">
        <v>2595</v>
      </c>
      <c r="E226" s="5"/>
      <c r="F226" s="8">
        <v>10000</v>
      </c>
      <c r="G226" s="8">
        <v>3000</v>
      </c>
      <c r="H226" s="5">
        <v>6</v>
      </c>
      <c r="I226" s="5" t="s">
        <v>2596</v>
      </c>
      <c r="J226" s="5" t="s">
        <v>2597</v>
      </c>
    </row>
    <row r="227" spans="1:10" ht="409.6" x14ac:dyDescent="0.3">
      <c r="A227" s="5" t="str">
        <f>HYPERLINK("https://grants.gov/search-results-detail/357347","PAS-001-FY2025")</f>
        <v>PAS-001-FY2025</v>
      </c>
      <c r="B227" s="5" t="s">
        <v>1318</v>
      </c>
      <c r="C227" s="5" t="s">
        <v>1319</v>
      </c>
      <c r="D227" s="5" t="s">
        <v>1320</v>
      </c>
      <c r="E227" s="5"/>
      <c r="F227" s="8">
        <v>50000</v>
      </c>
      <c r="G227" s="8">
        <v>10000</v>
      </c>
      <c r="H227" s="5">
        <v>15</v>
      </c>
      <c r="I227" s="5" t="s">
        <v>1321</v>
      </c>
      <c r="J227" s="5" t="s">
        <v>1322</v>
      </c>
    </row>
    <row r="228" spans="1:10" ht="360" x14ac:dyDescent="0.3">
      <c r="A228" s="5" t="str">
        <f>HYPERLINK("https://grants.gov/search-results-detail/357325","DOS-DEU-PD-NOFO-25101")</f>
        <v>DOS-DEU-PD-NOFO-25101</v>
      </c>
      <c r="B228" s="5" t="s">
        <v>1331</v>
      </c>
      <c r="C228" s="5" t="s">
        <v>1332</v>
      </c>
      <c r="D228" s="5" t="s">
        <v>1333</v>
      </c>
      <c r="E228" s="6">
        <v>45688</v>
      </c>
      <c r="F228" s="8">
        <v>35000</v>
      </c>
      <c r="G228" s="8">
        <v>5000</v>
      </c>
      <c r="H228" s="5">
        <v>3</v>
      </c>
      <c r="I228" s="5" t="s">
        <v>1334</v>
      </c>
      <c r="J228" s="5" t="s">
        <v>1335</v>
      </c>
    </row>
    <row r="229" spans="1:10" ht="144" x14ac:dyDescent="0.3">
      <c r="A229" s="5" t="str">
        <f>HYPERLINK("https://grants.gov/search-results-detail/357820","DFOP0017082")</f>
        <v>DFOP0017082</v>
      </c>
      <c r="B229" s="5" t="s">
        <v>340</v>
      </c>
      <c r="C229" s="5" t="s">
        <v>107</v>
      </c>
      <c r="D229" s="5" t="s">
        <v>108</v>
      </c>
      <c r="E229" s="6">
        <v>45673</v>
      </c>
      <c r="F229" s="8">
        <v>1500000</v>
      </c>
      <c r="G229" s="8">
        <v>500000</v>
      </c>
      <c r="H229" s="5">
        <v>0</v>
      </c>
      <c r="I229" s="5" t="s">
        <v>341</v>
      </c>
      <c r="J229" s="5" t="s">
        <v>342</v>
      </c>
    </row>
    <row r="230" spans="1:10" ht="129.6" x14ac:dyDescent="0.3">
      <c r="A230" s="5" t="str">
        <f>HYPERLINK("https://grants.gov/search-results-detail/357848","DFOP0017081")</f>
        <v>DFOP0017081</v>
      </c>
      <c r="B230" s="5" t="s">
        <v>268</v>
      </c>
      <c r="C230" s="5" t="s">
        <v>107</v>
      </c>
      <c r="D230" s="5" t="s">
        <v>108</v>
      </c>
      <c r="E230" s="6">
        <v>45705</v>
      </c>
      <c r="F230" s="8">
        <v>986500</v>
      </c>
      <c r="G230" s="8">
        <v>986500</v>
      </c>
      <c r="H230" s="5">
        <v>1</v>
      </c>
      <c r="I230" s="5" t="s">
        <v>269</v>
      </c>
      <c r="J230" s="5" t="s">
        <v>270</v>
      </c>
    </row>
    <row r="231" spans="1:10" ht="144" x14ac:dyDescent="0.3">
      <c r="A231" s="5" t="str">
        <f>HYPERLINK("https://grants.gov/search-results-detail/358027","DFOP0017096")</f>
        <v>DFOP0017096</v>
      </c>
      <c r="B231" s="5" t="s">
        <v>633</v>
      </c>
      <c r="C231" s="5" t="s">
        <v>107</v>
      </c>
      <c r="D231" s="5" t="s">
        <v>108</v>
      </c>
      <c r="E231" s="6">
        <v>45730</v>
      </c>
      <c r="F231" s="8">
        <v>1250000</v>
      </c>
      <c r="G231" s="8">
        <v>750000</v>
      </c>
      <c r="H231" s="5">
        <v>6</v>
      </c>
      <c r="I231" s="5" t="s">
        <v>634</v>
      </c>
      <c r="J231" s="5" t="s">
        <v>635</v>
      </c>
    </row>
    <row r="232" spans="1:10" ht="230.4" x14ac:dyDescent="0.3">
      <c r="A232" s="5" t="str">
        <f>HYPERLINK("https://grants.gov/search-results-detail/357561","DFOP0017058")</f>
        <v>DFOP0017058</v>
      </c>
      <c r="B232" s="5" t="s">
        <v>1038</v>
      </c>
      <c r="C232" s="5" t="s">
        <v>202</v>
      </c>
      <c r="D232" s="5" t="s">
        <v>203</v>
      </c>
      <c r="E232" s="6">
        <v>45677</v>
      </c>
      <c r="F232" s="8">
        <v>720000000</v>
      </c>
      <c r="G232" s="8">
        <v>720000000</v>
      </c>
      <c r="H232" s="5">
        <v>1</v>
      </c>
      <c r="I232" s="5" t="s">
        <v>1039</v>
      </c>
      <c r="J232" s="5" t="s">
        <v>1040</v>
      </c>
    </row>
    <row r="233" spans="1:10" ht="316.8" x14ac:dyDescent="0.3">
      <c r="A233" s="5" t="str">
        <f>HYPERLINK("https://grants.gov/search-results-detail/357541","DFOP0017057")</f>
        <v>DFOP0017057</v>
      </c>
      <c r="B233" s="5" t="s">
        <v>1086</v>
      </c>
      <c r="C233" s="5" t="s">
        <v>202</v>
      </c>
      <c r="D233" s="5" t="s">
        <v>203</v>
      </c>
      <c r="E233" s="6">
        <v>45691</v>
      </c>
      <c r="F233" s="8">
        <v>1000000</v>
      </c>
      <c r="G233" s="8">
        <v>1000000</v>
      </c>
      <c r="H233" s="5">
        <v>1</v>
      </c>
      <c r="I233" s="5" t="s">
        <v>1087</v>
      </c>
      <c r="J233" s="5" t="s">
        <v>1088</v>
      </c>
    </row>
    <row r="234" spans="1:10" ht="409.6" x14ac:dyDescent="0.3">
      <c r="A234" s="5" t="str">
        <f>HYPERLINK("https://grants.gov/search-results-detail/357879","DFOP0017094")</f>
        <v>DFOP0017094</v>
      </c>
      <c r="B234" s="5" t="s">
        <v>201</v>
      </c>
      <c r="C234" s="5" t="s">
        <v>202</v>
      </c>
      <c r="D234" s="5" t="s">
        <v>203</v>
      </c>
      <c r="E234" s="6">
        <v>45706</v>
      </c>
      <c r="F234" s="8">
        <v>5625000</v>
      </c>
      <c r="G234" s="8">
        <v>5625000</v>
      </c>
      <c r="H234" s="5">
        <v>1</v>
      </c>
      <c r="I234" s="5" t="s">
        <v>714</v>
      </c>
      <c r="J234" s="5" t="s">
        <v>204</v>
      </c>
    </row>
    <row r="235" spans="1:10" ht="129.6" x14ac:dyDescent="0.3">
      <c r="A235" s="5" t="str">
        <f>HYPERLINK("https://grants.gov/search-results-detail/350882","UCHRI-RBC-001")</f>
        <v>UCHRI-RBC-001</v>
      </c>
      <c r="B235" s="5" t="s">
        <v>2184</v>
      </c>
      <c r="C235" s="5" t="s">
        <v>202</v>
      </c>
      <c r="D235" s="5" t="s">
        <v>203</v>
      </c>
      <c r="E235" s="6">
        <v>45747</v>
      </c>
      <c r="F235" s="8">
        <v>300000</v>
      </c>
      <c r="G235" s="8">
        <v>50000</v>
      </c>
      <c r="H235" s="5">
        <v>15</v>
      </c>
      <c r="I235" s="5" t="s">
        <v>2185</v>
      </c>
      <c r="J235" s="5" t="s">
        <v>2186</v>
      </c>
    </row>
    <row r="236" spans="1:10" ht="409.6" x14ac:dyDescent="0.3">
      <c r="A236" s="5" t="str">
        <f>HYPERLINK("https://grants.gov/search-results-detail/346532","AFCP-UR-2023")</f>
        <v>AFCP-UR-2023</v>
      </c>
      <c r="B236" s="5" t="s">
        <v>2308</v>
      </c>
      <c r="C236" s="5" t="s">
        <v>202</v>
      </c>
      <c r="D236" s="5" t="s">
        <v>203</v>
      </c>
      <c r="E236" s="5"/>
      <c r="F236" s="8">
        <v>500000</v>
      </c>
      <c r="G236" s="8">
        <v>50000</v>
      </c>
      <c r="H236" s="5">
        <v>20</v>
      </c>
      <c r="I236" s="5" t="s">
        <v>2309</v>
      </c>
      <c r="J236" s="5" t="s">
        <v>2310</v>
      </c>
    </row>
    <row r="237" spans="1:10" ht="409.6" x14ac:dyDescent="0.3">
      <c r="A237" s="5" t="str">
        <f>HYPERLINK("https://grants.gov/search-results-detail/336244","ESP22APS")</f>
        <v>ESP22APS</v>
      </c>
      <c r="B237" s="5" t="s">
        <v>2466</v>
      </c>
      <c r="C237" s="5" t="s">
        <v>2467</v>
      </c>
      <c r="D237" s="5" t="s">
        <v>2468</v>
      </c>
      <c r="E237" s="5"/>
      <c r="F237" s="8">
        <v>75000</v>
      </c>
      <c r="G237" s="8">
        <v>25000</v>
      </c>
      <c r="H237" s="5"/>
      <c r="I237" s="5" t="s">
        <v>2469</v>
      </c>
      <c r="J237" s="5" t="s">
        <v>2470</v>
      </c>
    </row>
    <row r="238" spans="1:10" ht="409.6" x14ac:dyDescent="0.3">
      <c r="A238" s="5" t="str">
        <f>HYPERLINK("https://grants.gov/search-results-detail/357727","PDS-002-FY2025")</f>
        <v>PDS-002-FY2025</v>
      </c>
      <c r="B238" s="5" t="s">
        <v>368</v>
      </c>
      <c r="C238" s="5" t="s">
        <v>297</v>
      </c>
      <c r="D238" s="5" t="s">
        <v>298</v>
      </c>
      <c r="E238" s="6">
        <v>45680</v>
      </c>
      <c r="F238" s="8">
        <v>35000</v>
      </c>
      <c r="G238" s="8">
        <v>15000</v>
      </c>
      <c r="H238" s="5">
        <v>1</v>
      </c>
      <c r="I238" s="5" t="s">
        <v>369</v>
      </c>
      <c r="J238" s="5" t="s">
        <v>370</v>
      </c>
    </row>
    <row r="239" spans="1:10" ht="409.6" x14ac:dyDescent="0.3">
      <c r="A239" s="5" t="str">
        <f>HYPERLINK("https://grants.gov/search-results-detail/357322","PDS-001-FY2025")</f>
        <v>PDS-001-FY2025</v>
      </c>
      <c r="B239" s="5" t="s">
        <v>17</v>
      </c>
      <c r="C239" s="5" t="s">
        <v>297</v>
      </c>
      <c r="D239" s="5" t="s">
        <v>298</v>
      </c>
      <c r="E239" s="6">
        <v>45682</v>
      </c>
      <c r="F239" s="8">
        <v>35000</v>
      </c>
      <c r="G239" s="8">
        <v>5000</v>
      </c>
      <c r="H239" s="5">
        <v>1</v>
      </c>
      <c r="I239" s="5" t="s">
        <v>1316</v>
      </c>
      <c r="J239" s="5" t="s">
        <v>1317</v>
      </c>
    </row>
    <row r="240" spans="1:10" ht="409.6" x14ac:dyDescent="0.3">
      <c r="A240" s="5" t="str">
        <f>HYPERLINK("https://grants.gov/search-results-detail/357778","PDS-004-FY2025")</f>
        <v>PDS-004-FY2025</v>
      </c>
      <c r="B240" s="5" t="s">
        <v>296</v>
      </c>
      <c r="C240" s="5" t="s">
        <v>297</v>
      </c>
      <c r="D240" s="5" t="s">
        <v>298</v>
      </c>
      <c r="E240" s="6">
        <v>45688</v>
      </c>
      <c r="F240" s="8">
        <v>100000</v>
      </c>
      <c r="G240" s="8">
        <v>25000</v>
      </c>
      <c r="H240" s="5">
        <v>5</v>
      </c>
      <c r="I240" s="5" t="s">
        <v>299</v>
      </c>
      <c r="J240" s="5" t="s">
        <v>300</v>
      </c>
    </row>
    <row r="241" spans="1:10" ht="409.6" x14ac:dyDescent="0.3">
      <c r="A241" s="5" t="str">
        <f>HYPERLINK("https://grants.gov/search-results-detail/357867","PDS-FRANCE-FY2025-01")</f>
        <v>PDS-FRANCE-FY2025-01</v>
      </c>
      <c r="B241" s="5" t="s">
        <v>176</v>
      </c>
      <c r="C241" s="5" t="s">
        <v>177</v>
      </c>
      <c r="D241" s="5" t="s">
        <v>178</v>
      </c>
      <c r="E241" s="6">
        <v>45709</v>
      </c>
      <c r="F241" s="8">
        <v>35000</v>
      </c>
      <c r="G241" s="8">
        <v>5000</v>
      </c>
      <c r="H241" s="5">
        <v>3</v>
      </c>
      <c r="I241" s="5" t="s">
        <v>706</v>
      </c>
      <c r="J241" s="5" t="s">
        <v>179</v>
      </c>
    </row>
    <row r="242" spans="1:10" ht="409.6" x14ac:dyDescent="0.3">
      <c r="A242" s="5" t="str">
        <f>HYPERLINK("https://grants.gov/search-results-detail/346716","DOS-PDS-LIBREVILLE-FY23-01")</f>
        <v>DOS-PDS-LIBREVILLE-FY23-01</v>
      </c>
      <c r="B242" s="5" t="s">
        <v>2303</v>
      </c>
      <c r="C242" s="5" t="s">
        <v>2304</v>
      </c>
      <c r="D242" s="5" t="s">
        <v>2305</v>
      </c>
      <c r="E242" s="5"/>
      <c r="F242" s="8">
        <v>12500</v>
      </c>
      <c r="G242" s="8">
        <v>5000</v>
      </c>
      <c r="H242" s="5">
        <v>3</v>
      </c>
      <c r="I242" s="5" t="s">
        <v>2306</v>
      </c>
      <c r="J242" s="5" t="s">
        <v>2307</v>
      </c>
    </row>
    <row r="243" spans="1:10" ht="172.8" x14ac:dyDescent="0.3">
      <c r="A243" s="5" t="str">
        <f>HYPERLINK("https://grants.gov/search-results-detail/358141","DFOP0017128")</f>
        <v>DFOP0017128</v>
      </c>
      <c r="B243" s="5" t="s">
        <v>436</v>
      </c>
      <c r="C243" s="5" t="s">
        <v>437</v>
      </c>
      <c r="D243" s="5" t="s">
        <v>438</v>
      </c>
      <c r="E243" s="6">
        <v>45719</v>
      </c>
      <c r="F243" s="8">
        <v>2000000</v>
      </c>
      <c r="G243" s="8">
        <v>250000</v>
      </c>
      <c r="H243" s="5">
        <v>3</v>
      </c>
      <c r="I243" s="5" t="s">
        <v>439</v>
      </c>
      <c r="J243" s="5" t="s">
        <v>440</v>
      </c>
    </row>
    <row r="244" spans="1:10" ht="409.6" x14ac:dyDescent="0.3">
      <c r="A244" s="5" t="str">
        <f>HYPERLINK("https://grants.gov/search-results-detail/358069","PDS-DOS-GEO-FY25-004")</f>
        <v>PDS-DOS-GEO-FY25-004</v>
      </c>
      <c r="B244" s="5" t="s">
        <v>499</v>
      </c>
      <c r="C244" s="5" t="s">
        <v>500</v>
      </c>
      <c r="D244" s="5" t="s">
        <v>501</v>
      </c>
      <c r="E244" s="6">
        <v>45677</v>
      </c>
      <c r="F244" s="8">
        <v>35000</v>
      </c>
      <c r="G244" s="8">
        <v>35000</v>
      </c>
      <c r="H244" s="5">
        <v>1</v>
      </c>
      <c r="I244" s="5" t="s">
        <v>502</v>
      </c>
      <c r="J244" s="5" t="s">
        <v>503</v>
      </c>
    </row>
    <row r="245" spans="1:10" ht="409.6" x14ac:dyDescent="0.3">
      <c r="A245" s="5" t="str">
        <f>HYPERLINK("https://grants.gov/search-results-detail/353281","PDS-DOS-GEO-FY25-002")</f>
        <v>PDS-DOS-GEO-FY25-002</v>
      </c>
      <c r="B245" s="5" t="s">
        <v>2061</v>
      </c>
      <c r="C245" s="5" t="s">
        <v>500</v>
      </c>
      <c r="D245" s="5" t="s">
        <v>501</v>
      </c>
      <c r="E245" s="5"/>
      <c r="F245" s="8">
        <v>24000</v>
      </c>
      <c r="G245" s="8">
        <v>5000</v>
      </c>
      <c r="H245" s="5">
        <v>15</v>
      </c>
      <c r="I245" s="5" t="s">
        <v>2062</v>
      </c>
      <c r="J245" s="5" t="s">
        <v>2063</v>
      </c>
    </row>
    <row r="246" spans="1:10" ht="409.6" x14ac:dyDescent="0.3">
      <c r="A246" s="5" t="str">
        <f>HYPERLINK("https://grants.gov/search-results-detail/357406","AEIF25-EQUATORIALGUINEA-FY25")</f>
        <v>AEIF25-EQUATORIALGUINEA-FY25</v>
      </c>
      <c r="B246" s="5" t="s">
        <v>1265</v>
      </c>
      <c r="C246" s="5" t="s">
        <v>1266</v>
      </c>
      <c r="D246" s="5" t="s">
        <v>1267</v>
      </c>
      <c r="E246" s="6">
        <v>45700</v>
      </c>
      <c r="F246" s="8">
        <v>35000</v>
      </c>
      <c r="G246" s="8">
        <v>5000</v>
      </c>
      <c r="H246" s="5">
        <v>8</v>
      </c>
      <c r="I246" s="5" t="s">
        <v>1268</v>
      </c>
      <c r="J246" s="5" t="s">
        <v>1269</v>
      </c>
    </row>
    <row r="247" spans="1:10" ht="230.4" x14ac:dyDescent="0.3">
      <c r="A247" s="5" t="str">
        <f>HYPERLINK("https://grants.gov/search-results-detail/357674","DFOP0017061")</f>
        <v>DFOP0017061</v>
      </c>
      <c r="B247" s="5" t="s">
        <v>910</v>
      </c>
      <c r="C247" s="5" t="s">
        <v>911</v>
      </c>
      <c r="D247" s="5" t="s">
        <v>912</v>
      </c>
      <c r="E247" s="6">
        <v>45692</v>
      </c>
      <c r="F247" s="8">
        <v>5000000</v>
      </c>
      <c r="G247" s="8">
        <v>500000</v>
      </c>
      <c r="H247" s="5">
        <v>0</v>
      </c>
      <c r="I247" s="5" t="s">
        <v>913</v>
      </c>
      <c r="J247" s="5" t="s">
        <v>914</v>
      </c>
    </row>
    <row r="248" spans="1:10" ht="158.4" x14ac:dyDescent="0.3">
      <c r="A248" s="5" t="str">
        <f>HYPERLINK("https://grants.gov/search-results-detail/357972","PDS-HON-AEIF-FY25-01")</f>
        <v>PDS-HON-AEIF-FY25-01</v>
      </c>
      <c r="B248" s="5" t="s">
        <v>17</v>
      </c>
      <c r="C248" s="5" t="s">
        <v>18</v>
      </c>
      <c r="D248" s="5" t="s">
        <v>19</v>
      </c>
      <c r="E248" s="6">
        <v>45704</v>
      </c>
      <c r="F248" s="8">
        <v>35000</v>
      </c>
      <c r="G248" s="8">
        <v>5000</v>
      </c>
      <c r="H248" s="5">
        <v>2</v>
      </c>
      <c r="I248" s="5" t="s">
        <v>690</v>
      </c>
      <c r="J248" s="5" t="s">
        <v>20</v>
      </c>
    </row>
    <row r="249" spans="1:10" ht="409.6" x14ac:dyDescent="0.3">
      <c r="A249" s="5" t="str">
        <f>HYPERLINK("https://grants.gov/search-results-detail/357641","PAS-JAKARTA-FY25-02")</f>
        <v>PAS-JAKARTA-FY25-02</v>
      </c>
      <c r="B249" s="5" t="s">
        <v>897</v>
      </c>
      <c r="C249" s="5" t="s">
        <v>264</v>
      </c>
      <c r="D249" s="5" t="s">
        <v>265</v>
      </c>
      <c r="E249" s="6">
        <v>45672</v>
      </c>
      <c r="F249" s="8">
        <v>500000</v>
      </c>
      <c r="G249" s="8">
        <v>25000</v>
      </c>
      <c r="H249" s="5">
        <v>25</v>
      </c>
      <c r="I249" s="5" t="s">
        <v>898</v>
      </c>
      <c r="J249" s="5" t="s">
        <v>899</v>
      </c>
    </row>
    <row r="250" spans="1:10" ht="374.4" x14ac:dyDescent="0.3">
      <c r="A250" s="5" t="str">
        <f>HYPERLINK("https://grants.gov/search-results-detail/357825","PAS-JAKARTA-FY25-03")</f>
        <v>PAS-JAKARTA-FY25-03</v>
      </c>
      <c r="B250" s="5" t="s">
        <v>123</v>
      </c>
      <c r="C250" s="5" t="s">
        <v>264</v>
      </c>
      <c r="D250" s="5" t="s">
        <v>265</v>
      </c>
      <c r="E250" s="6">
        <v>45675</v>
      </c>
      <c r="F250" s="8">
        <v>35000</v>
      </c>
      <c r="G250" s="8">
        <v>5000</v>
      </c>
      <c r="H250" s="5">
        <v>3</v>
      </c>
      <c r="I250" s="5" t="s">
        <v>266</v>
      </c>
      <c r="J250" s="5" t="s">
        <v>267</v>
      </c>
    </row>
    <row r="251" spans="1:10" ht="302.39999999999998" x14ac:dyDescent="0.3">
      <c r="A251" s="5" t="str">
        <f>HYPERLINK("https://grants.gov/search-results-detail/357637","OFOP0001709")</f>
        <v>OFOP0001709</v>
      </c>
      <c r="B251" s="5" t="s">
        <v>881</v>
      </c>
      <c r="C251" s="5" t="s">
        <v>882</v>
      </c>
      <c r="D251" s="5" t="s">
        <v>883</v>
      </c>
      <c r="E251" s="6">
        <v>45688</v>
      </c>
      <c r="F251" s="8">
        <v>35000</v>
      </c>
      <c r="G251" s="8">
        <v>5000</v>
      </c>
      <c r="H251" s="5">
        <v>3</v>
      </c>
      <c r="I251" s="5" t="s">
        <v>884</v>
      </c>
      <c r="J251" s="5" t="s">
        <v>885</v>
      </c>
    </row>
    <row r="252" spans="1:10" ht="172.8" x14ac:dyDescent="0.3">
      <c r="A252" s="5" t="str">
        <f>HYPERLINK("https://grants.gov/search-results-detail/357843","OFOP0001717")</f>
        <v>OFOP0001717</v>
      </c>
      <c r="B252" s="5" t="s">
        <v>235</v>
      </c>
      <c r="C252" s="5" t="s">
        <v>236</v>
      </c>
      <c r="D252" s="5" t="s">
        <v>237</v>
      </c>
      <c r="E252" s="6">
        <v>45674</v>
      </c>
      <c r="F252" s="8">
        <v>300000</v>
      </c>
      <c r="G252" s="8">
        <v>150000</v>
      </c>
      <c r="H252" s="5">
        <v>3</v>
      </c>
      <c r="I252" s="5" t="s">
        <v>238</v>
      </c>
      <c r="J252" s="5" t="s">
        <v>239</v>
      </c>
    </row>
    <row r="253" spans="1:10" ht="360" x14ac:dyDescent="0.3">
      <c r="A253" s="5" t="str">
        <f>HYPERLINK("https://grants.gov/search-results-detail/357528","INL25CA0017-AME-TRAVLOG-013125")</f>
        <v>INL25CA0017-AME-TRAVLOG-013125</v>
      </c>
      <c r="B253" s="5" t="s">
        <v>1116</v>
      </c>
      <c r="C253" s="5" t="s">
        <v>236</v>
      </c>
      <c r="D253" s="5" t="s">
        <v>237</v>
      </c>
      <c r="E253" s="6">
        <v>45688</v>
      </c>
      <c r="F253" s="8">
        <v>350000</v>
      </c>
      <c r="G253" s="8">
        <v>100000</v>
      </c>
      <c r="H253" s="5">
        <v>30</v>
      </c>
      <c r="I253" s="5" t="s">
        <v>1117</v>
      </c>
      <c r="J253" s="5" t="s">
        <v>1118</v>
      </c>
    </row>
    <row r="254" spans="1:10" ht="187.2" x14ac:dyDescent="0.3">
      <c r="A254" s="5" t="str">
        <f>HYPERLINK("https://grants.gov/search-results-detail/357244","OFOP0001665")</f>
        <v>OFOP0001665</v>
      </c>
      <c r="B254" s="5" t="s">
        <v>1400</v>
      </c>
      <c r="C254" s="5" t="s">
        <v>236</v>
      </c>
      <c r="D254" s="5" t="s">
        <v>237</v>
      </c>
      <c r="E254" s="6">
        <v>45690</v>
      </c>
      <c r="F254" s="8">
        <v>430000</v>
      </c>
      <c r="G254" s="8">
        <v>375000</v>
      </c>
      <c r="H254" s="5">
        <v>2</v>
      </c>
      <c r="I254" s="5" t="s">
        <v>1401</v>
      </c>
      <c r="J254" s="5" t="s">
        <v>1402</v>
      </c>
    </row>
    <row r="255" spans="1:10" ht="172.8" x14ac:dyDescent="0.3">
      <c r="A255" s="5" t="str">
        <f>HYPERLINK("https://grants.gov/search-results-detail/356859","DFOP0016989")</f>
        <v>DFOP0016989</v>
      </c>
      <c r="B255" s="5" t="s">
        <v>1614</v>
      </c>
      <c r="C255" s="5" t="s">
        <v>97</v>
      </c>
      <c r="D255" s="5" t="s">
        <v>98</v>
      </c>
      <c r="E255" s="6">
        <v>45674</v>
      </c>
      <c r="F255" s="8">
        <v>5000000</v>
      </c>
      <c r="G255" s="8">
        <v>100000</v>
      </c>
      <c r="H255" s="5">
        <v>5</v>
      </c>
      <c r="I255" s="5" t="s">
        <v>1615</v>
      </c>
      <c r="J255" s="5" t="s">
        <v>1616</v>
      </c>
    </row>
    <row r="256" spans="1:10" ht="158.4" x14ac:dyDescent="0.3">
      <c r="A256" s="5" t="str">
        <f>HYPERLINK("https://grants.gov/search-results-detail/356857","DFOP0016984")</f>
        <v>DFOP0016984</v>
      </c>
      <c r="B256" s="5" t="s">
        <v>1617</v>
      </c>
      <c r="C256" s="5" t="s">
        <v>97</v>
      </c>
      <c r="D256" s="5" t="s">
        <v>98</v>
      </c>
      <c r="E256" s="6">
        <v>45674</v>
      </c>
      <c r="F256" s="8">
        <v>3000000</v>
      </c>
      <c r="G256" s="8">
        <v>50000</v>
      </c>
      <c r="H256" s="5">
        <v>10</v>
      </c>
      <c r="I256" s="5" t="s">
        <v>1618</v>
      </c>
      <c r="J256" s="5" t="s">
        <v>1619</v>
      </c>
    </row>
    <row r="257" spans="1:10" ht="158.4" x14ac:dyDescent="0.3">
      <c r="A257" s="5" t="str">
        <f>HYPERLINK("https://grants.gov/search-results-detail/356860","DFOP0016985")</f>
        <v>DFOP0016985</v>
      </c>
      <c r="B257" s="5" t="s">
        <v>1620</v>
      </c>
      <c r="C257" s="5" t="s">
        <v>97</v>
      </c>
      <c r="D257" s="5" t="s">
        <v>98</v>
      </c>
      <c r="E257" s="6">
        <v>45674</v>
      </c>
      <c r="F257" s="8">
        <v>5000000</v>
      </c>
      <c r="G257" s="8">
        <v>50000</v>
      </c>
      <c r="H257" s="5">
        <v>12</v>
      </c>
      <c r="I257" s="5" t="s">
        <v>1621</v>
      </c>
      <c r="J257" s="5" t="s">
        <v>1622</v>
      </c>
    </row>
    <row r="258" spans="1:10" ht="216" x14ac:dyDescent="0.3">
      <c r="A258" s="5" t="str">
        <f>HYPERLINK("https://grants.gov/search-results-detail/356864","DFOP0016986")</f>
        <v>DFOP0016986</v>
      </c>
      <c r="B258" s="5" t="s">
        <v>1623</v>
      </c>
      <c r="C258" s="5" t="s">
        <v>97</v>
      </c>
      <c r="D258" s="5" t="s">
        <v>98</v>
      </c>
      <c r="E258" s="6">
        <v>45674</v>
      </c>
      <c r="F258" s="8">
        <v>4000000</v>
      </c>
      <c r="G258" s="8">
        <v>50000</v>
      </c>
      <c r="H258" s="5">
        <v>10</v>
      </c>
      <c r="I258" s="5" t="s">
        <v>1621</v>
      </c>
      <c r="J258" s="5" t="s">
        <v>1624</v>
      </c>
    </row>
    <row r="259" spans="1:10" ht="273.60000000000002" x14ac:dyDescent="0.3">
      <c r="A259" s="5" t="str">
        <f>HYPERLINK("https://grants.gov/search-results-detail/356858","DFOP0016988")</f>
        <v>DFOP0016988</v>
      </c>
      <c r="B259" s="5" t="s">
        <v>1625</v>
      </c>
      <c r="C259" s="5" t="s">
        <v>97</v>
      </c>
      <c r="D259" s="5" t="s">
        <v>98</v>
      </c>
      <c r="E259" s="6">
        <v>45674</v>
      </c>
      <c r="F259" s="8">
        <v>9000000</v>
      </c>
      <c r="G259" s="8">
        <v>100000</v>
      </c>
      <c r="H259" s="5">
        <v>5</v>
      </c>
      <c r="I259" s="5" t="s">
        <v>1615</v>
      </c>
      <c r="J259" s="5" t="s">
        <v>1626</v>
      </c>
    </row>
    <row r="260" spans="1:10" ht="244.8" x14ac:dyDescent="0.3">
      <c r="A260" s="5" t="str">
        <f>HYPERLINK("https://grants.gov/search-results-detail/356861","DFOP0016990")</f>
        <v>DFOP0016990</v>
      </c>
      <c r="B260" s="5" t="s">
        <v>1627</v>
      </c>
      <c r="C260" s="5" t="s">
        <v>97</v>
      </c>
      <c r="D260" s="5" t="s">
        <v>98</v>
      </c>
      <c r="E260" s="6">
        <v>45674</v>
      </c>
      <c r="F260" s="8">
        <v>4000000</v>
      </c>
      <c r="G260" s="8">
        <v>500000</v>
      </c>
      <c r="H260" s="5">
        <v>5</v>
      </c>
      <c r="I260" s="5" t="s">
        <v>1615</v>
      </c>
      <c r="J260" s="5" t="s">
        <v>1628</v>
      </c>
    </row>
    <row r="261" spans="1:10" ht="158.4" x14ac:dyDescent="0.3">
      <c r="A261" s="5" t="str">
        <f>HYPERLINK("https://grants.gov/search-results-detail/356862","DFOP0016991")</f>
        <v>DFOP0016991</v>
      </c>
      <c r="B261" s="5" t="s">
        <v>1629</v>
      </c>
      <c r="C261" s="5" t="s">
        <v>97</v>
      </c>
      <c r="D261" s="5" t="s">
        <v>98</v>
      </c>
      <c r="E261" s="6">
        <v>45674</v>
      </c>
      <c r="F261" s="8">
        <v>5000000</v>
      </c>
      <c r="G261" s="8">
        <v>100000</v>
      </c>
      <c r="H261" s="5">
        <v>5</v>
      </c>
      <c r="I261" s="5" t="s">
        <v>1615</v>
      </c>
      <c r="J261" s="5" t="s">
        <v>1630</v>
      </c>
    </row>
    <row r="262" spans="1:10" ht="158.4" x14ac:dyDescent="0.3">
      <c r="A262" s="5" t="str">
        <f>HYPERLINK("https://grants.gov/search-results-detail/356866","DFOP0016992")</f>
        <v>DFOP0016992</v>
      </c>
      <c r="B262" s="5" t="s">
        <v>1631</v>
      </c>
      <c r="C262" s="5" t="s">
        <v>97</v>
      </c>
      <c r="D262" s="5" t="s">
        <v>98</v>
      </c>
      <c r="E262" s="6">
        <v>45674</v>
      </c>
      <c r="F262" s="8">
        <v>5000000</v>
      </c>
      <c r="G262" s="8">
        <v>100000</v>
      </c>
      <c r="H262" s="5">
        <v>10</v>
      </c>
      <c r="I262" s="5" t="s">
        <v>1615</v>
      </c>
      <c r="J262" s="5" t="s">
        <v>1632</v>
      </c>
    </row>
    <row r="263" spans="1:10" ht="158.4" x14ac:dyDescent="0.3">
      <c r="A263" s="5" t="str">
        <f>HYPERLINK("https://grants.gov/search-results-detail/356863","DFOP0016993")</f>
        <v>DFOP0016993</v>
      </c>
      <c r="B263" s="5" t="s">
        <v>1633</v>
      </c>
      <c r="C263" s="5" t="s">
        <v>97</v>
      </c>
      <c r="D263" s="5" t="s">
        <v>98</v>
      </c>
      <c r="E263" s="6">
        <v>45674</v>
      </c>
      <c r="F263" s="8">
        <v>5000000</v>
      </c>
      <c r="G263" s="8">
        <v>100000</v>
      </c>
      <c r="H263" s="5">
        <v>17</v>
      </c>
      <c r="I263" s="5" t="s">
        <v>1615</v>
      </c>
      <c r="J263" s="5" t="s">
        <v>1634</v>
      </c>
    </row>
    <row r="264" spans="1:10" ht="230.4" x14ac:dyDescent="0.3">
      <c r="A264" s="5" t="str">
        <f>HYPERLINK("https://grants.gov/search-results-detail/356867","DFOP0016994")</f>
        <v>DFOP0016994</v>
      </c>
      <c r="B264" s="5" t="s">
        <v>1635</v>
      </c>
      <c r="C264" s="5" t="s">
        <v>97</v>
      </c>
      <c r="D264" s="5" t="s">
        <v>98</v>
      </c>
      <c r="E264" s="6">
        <v>45674</v>
      </c>
      <c r="F264" s="8">
        <v>2000000</v>
      </c>
      <c r="G264" s="8">
        <v>100000</v>
      </c>
      <c r="H264" s="5">
        <v>5</v>
      </c>
      <c r="I264" s="5" t="s">
        <v>1615</v>
      </c>
      <c r="J264" s="5" t="s">
        <v>1636</v>
      </c>
    </row>
    <row r="265" spans="1:10" ht="244.8" x14ac:dyDescent="0.3">
      <c r="A265" s="5" t="str">
        <f>HYPERLINK("https://grants.gov/search-results-detail/356865","DFOP0016995")</f>
        <v>DFOP0016995</v>
      </c>
      <c r="B265" s="5" t="s">
        <v>1637</v>
      </c>
      <c r="C265" s="5" t="s">
        <v>97</v>
      </c>
      <c r="D265" s="5" t="s">
        <v>98</v>
      </c>
      <c r="E265" s="6">
        <v>45674</v>
      </c>
      <c r="F265" s="8">
        <v>5000000</v>
      </c>
      <c r="G265" s="8">
        <v>100000</v>
      </c>
      <c r="H265" s="5">
        <v>5</v>
      </c>
      <c r="I265" s="5" t="s">
        <v>1615</v>
      </c>
      <c r="J265" s="5" t="s">
        <v>1638</v>
      </c>
    </row>
    <row r="266" spans="1:10" ht="288" x14ac:dyDescent="0.3">
      <c r="A266" s="5" t="str">
        <f>HYPERLINK("https://grants.gov/search-results-detail/356856","DFOP0016987")</f>
        <v>DFOP0016987</v>
      </c>
      <c r="B266" s="5" t="s">
        <v>1663</v>
      </c>
      <c r="C266" s="5" t="s">
        <v>97</v>
      </c>
      <c r="D266" s="5" t="s">
        <v>98</v>
      </c>
      <c r="E266" s="6">
        <v>45674</v>
      </c>
      <c r="F266" s="8">
        <v>4000000</v>
      </c>
      <c r="G266" s="8">
        <v>100000</v>
      </c>
      <c r="H266" s="5">
        <v>5</v>
      </c>
      <c r="I266" s="5" t="s">
        <v>1615</v>
      </c>
      <c r="J266" s="5" t="s">
        <v>1664</v>
      </c>
    </row>
    <row r="267" spans="1:10" ht="172.8" x14ac:dyDescent="0.3">
      <c r="A267" s="5" t="str">
        <f>HYPERLINK("https://grants.gov/search-results-detail/357925","DFOP0017103")</f>
        <v>DFOP0017103</v>
      </c>
      <c r="B267" s="5" t="s">
        <v>96</v>
      </c>
      <c r="C267" s="5" t="s">
        <v>97</v>
      </c>
      <c r="D267" s="5" t="s">
        <v>98</v>
      </c>
      <c r="E267" s="6">
        <v>45688</v>
      </c>
      <c r="F267" s="8">
        <v>480000</v>
      </c>
      <c r="G267" s="8">
        <v>0</v>
      </c>
      <c r="H267" s="5">
        <v>1</v>
      </c>
      <c r="I267" s="5" t="s">
        <v>698</v>
      </c>
      <c r="J267" s="5" t="s">
        <v>99</v>
      </c>
    </row>
    <row r="268" spans="1:10" ht="144" x14ac:dyDescent="0.3">
      <c r="A268" s="5" t="str">
        <f>HYPERLINK("https://grants.gov/search-results-detail/357918","DFOP0017102")</f>
        <v>DFOP0017102</v>
      </c>
      <c r="B268" s="5" t="s">
        <v>118</v>
      </c>
      <c r="C268" s="5" t="s">
        <v>97</v>
      </c>
      <c r="D268" s="5" t="s">
        <v>98</v>
      </c>
      <c r="E268" s="6">
        <v>45688</v>
      </c>
      <c r="F268" s="8">
        <v>150000</v>
      </c>
      <c r="G268" s="8">
        <v>0</v>
      </c>
      <c r="H268" s="5">
        <v>1</v>
      </c>
      <c r="I268" s="5" t="s">
        <v>704</v>
      </c>
      <c r="J268" s="5" t="s">
        <v>119</v>
      </c>
    </row>
    <row r="269" spans="1:10" ht="115.2" x14ac:dyDescent="0.3">
      <c r="A269" s="5" t="str">
        <f>HYPERLINK("https://grants.gov/search-results-detail/358007","DFOP0017089")</f>
        <v>DFOP0017089</v>
      </c>
      <c r="B269" s="5" t="s">
        <v>601</v>
      </c>
      <c r="C269" s="5" t="s">
        <v>97</v>
      </c>
      <c r="D269" s="5" t="s">
        <v>98</v>
      </c>
      <c r="E269" s="6">
        <v>45747</v>
      </c>
      <c r="F269" s="8">
        <v>450000</v>
      </c>
      <c r="G269" s="8">
        <v>0</v>
      </c>
      <c r="H269" s="5">
        <v>1</v>
      </c>
      <c r="I269" s="5" t="s">
        <v>602</v>
      </c>
      <c r="J269" s="5" t="s">
        <v>603</v>
      </c>
    </row>
    <row r="270" spans="1:10" ht="115.2" x14ac:dyDescent="0.3">
      <c r="A270" s="5" t="str">
        <f>HYPERLINK("https://grants.gov/search-results-detail/358010","DFOP0017092")</f>
        <v>DFOP0017092</v>
      </c>
      <c r="B270" s="5" t="s">
        <v>604</v>
      </c>
      <c r="C270" s="5" t="s">
        <v>97</v>
      </c>
      <c r="D270" s="5" t="s">
        <v>98</v>
      </c>
      <c r="E270" s="6">
        <v>45747</v>
      </c>
      <c r="F270" s="8">
        <v>789343</v>
      </c>
      <c r="G270" s="8">
        <v>0</v>
      </c>
      <c r="H270" s="5">
        <v>1</v>
      </c>
      <c r="I270" s="5" t="s">
        <v>602</v>
      </c>
      <c r="J270" s="5" t="s">
        <v>605</v>
      </c>
    </row>
    <row r="271" spans="1:10" ht="172.8" x14ac:dyDescent="0.3">
      <c r="A271" s="5" t="str">
        <f>HYPERLINK("https://grants.gov/search-results-detail/358011","DFOP0017093")</f>
        <v>DFOP0017093</v>
      </c>
      <c r="B271" s="5" t="s">
        <v>606</v>
      </c>
      <c r="C271" s="5" t="s">
        <v>97</v>
      </c>
      <c r="D271" s="5" t="s">
        <v>98</v>
      </c>
      <c r="E271" s="6">
        <v>45747</v>
      </c>
      <c r="F271" s="8">
        <v>493339</v>
      </c>
      <c r="G271" s="8">
        <v>0</v>
      </c>
      <c r="H271" s="5">
        <v>1</v>
      </c>
      <c r="I271" s="5" t="s">
        <v>602</v>
      </c>
      <c r="J271" s="5" t="s">
        <v>607</v>
      </c>
    </row>
    <row r="272" spans="1:10" ht="115.2" x14ac:dyDescent="0.3">
      <c r="A272" s="5" t="str">
        <f>HYPERLINK("https://grants.gov/search-results-detail/358012","DFOP0017097")</f>
        <v>DFOP0017097</v>
      </c>
      <c r="B272" s="5" t="s">
        <v>608</v>
      </c>
      <c r="C272" s="5" t="s">
        <v>97</v>
      </c>
      <c r="D272" s="5" t="s">
        <v>98</v>
      </c>
      <c r="E272" s="6">
        <v>45747</v>
      </c>
      <c r="F272" s="8">
        <v>355204</v>
      </c>
      <c r="G272" s="8">
        <v>355204</v>
      </c>
      <c r="H272" s="5">
        <v>1</v>
      </c>
      <c r="I272" s="5" t="s">
        <v>602</v>
      </c>
      <c r="J272" s="5" t="s">
        <v>609</v>
      </c>
    </row>
    <row r="273" spans="1:10" ht="115.2" x14ac:dyDescent="0.3">
      <c r="A273" s="5" t="str">
        <f>HYPERLINK("https://grants.gov/search-results-detail/358013","DFOP0017098")</f>
        <v>DFOP0017098</v>
      </c>
      <c r="B273" s="5" t="s">
        <v>610</v>
      </c>
      <c r="C273" s="5" t="s">
        <v>97</v>
      </c>
      <c r="D273" s="5" t="s">
        <v>98</v>
      </c>
      <c r="E273" s="6">
        <v>45747</v>
      </c>
      <c r="F273" s="8">
        <v>138135</v>
      </c>
      <c r="G273" s="8">
        <v>0</v>
      </c>
      <c r="H273" s="5">
        <v>1</v>
      </c>
      <c r="I273" s="5" t="s">
        <v>602</v>
      </c>
      <c r="J273" s="5" t="s">
        <v>611</v>
      </c>
    </row>
    <row r="274" spans="1:10" ht="115.2" x14ac:dyDescent="0.3">
      <c r="A274" s="5" t="str">
        <f>HYPERLINK("https://grants.gov/search-results-detail/358014","DFOP0017099")</f>
        <v>DFOP0017099</v>
      </c>
      <c r="B274" s="5" t="s">
        <v>612</v>
      </c>
      <c r="C274" s="5" t="s">
        <v>97</v>
      </c>
      <c r="D274" s="5" t="s">
        <v>98</v>
      </c>
      <c r="E274" s="6">
        <v>45747</v>
      </c>
      <c r="F274" s="8">
        <v>98667</v>
      </c>
      <c r="G274" s="8">
        <v>0</v>
      </c>
      <c r="H274" s="5">
        <v>1</v>
      </c>
      <c r="I274" s="5" t="s">
        <v>602</v>
      </c>
      <c r="J274" s="5" t="s">
        <v>613</v>
      </c>
    </row>
    <row r="275" spans="1:10" ht="115.2" x14ac:dyDescent="0.3">
      <c r="A275" s="5" t="str">
        <f>HYPERLINK("https://grants.gov/search-results-detail/358008","DFOP0017090")</f>
        <v>DFOP0017090</v>
      </c>
      <c r="B275" s="5" t="s">
        <v>614</v>
      </c>
      <c r="C275" s="5" t="s">
        <v>97</v>
      </c>
      <c r="D275" s="5" t="s">
        <v>98</v>
      </c>
      <c r="E275" s="6">
        <v>45747</v>
      </c>
      <c r="F275" s="8">
        <v>789343</v>
      </c>
      <c r="G275" s="8">
        <v>0</v>
      </c>
      <c r="H275" s="5">
        <v>1</v>
      </c>
      <c r="I275" s="5" t="s">
        <v>602</v>
      </c>
      <c r="J275" s="5" t="s">
        <v>605</v>
      </c>
    </row>
    <row r="276" spans="1:10" ht="115.2" x14ac:dyDescent="0.3">
      <c r="A276" s="5" t="str">
        <f>HYPERLINK("https://grants.gov/search-results-detail/358009","DFOP0017091")</f>
        <v>DFOP0017091</v>
      </c>
      <c r="B276" s="5" t="s">
        <v>615</v>
      </c>
      <c r="C276" s="5" t="s">
        <v>97</v>
      </c>
      <c r="D276" s="5" t="s">
        <v>98</v>
      </c>
      <c r="E276" s="6">
        <v>45747</v>
      </c>
      <c r="F276" s="8">
        <v>1016279</v>
      </c>
      <c r="G276" s="8">
        <v>0</v>
      </c>
      <c r="H276" s="5">
        <v>1</v>
      </c>
      <c r="I276" s="5" t="s">
        <v>602</v>
      </c>
      <c r="J276" s="5" t="s">
        <v>616</v>
      </c>
    </row>
    <row r="277" spans="1:10" ht="409.6" x14ac:dyDescent="0.3">
      <c r="A277" s="5" t="str">
        <f>HYPERLINK("https://grants.gov/search-results-detail/331306","ROMENOFO002DOSEUR")</f>
        <v>ROMENOFO002DOSEUR</v>
      </c>
      <c r="B277" s="5" t="s">
        <v>2527</v>
      </c>
      <c r="C277" s="5" t="s">
        <v>2528</v>
      </c>
      <c r="D277" s="5" t="s">
        <v>2529</v>
      </c>
      <c r="E277" s="5"/>
      <c r="F277" s="8">
        <v>100000</v>
      </c>
      <c r="G277" s="8">
        <v>10000</v>
      </c>
      <c r="H277" s="5"/>
      <c r="I277" s="5" t="s">
        <v>2530</v>
      </c>
      <c r="J277" s="5" t="s">
        <v>2531</v>
      </c>
    </row>
    <row r="278" spans="1:10" ht="409.6" x14ac:dyDescent="0.3">
      <c r="A278" s="5" t="str">
        <f>HYPERLINK("https://grants.gov/search-results-detail/357857","OFOP0001721")</f>
        <v>OFOP0001721</v>
      </c>
      <c r="B278" s="5" t="s">
        <v>274</v>
      </c>
      <c r="C278" s="5" t="s">
        <v>275</v>
      </c>
      <c r="D278" s="5" t="s">
        <v>276</v>
      </c>
      <c r="E278" s="6">
        <v>45702</v>
      </c>
      <c r="F278" s="8">
        <v>35000</v>
      </c>
      <c r="G278" s="8">
        <v>5000</v>
      </c>
      <c r="H278" s="5">
        <v>0</v>
      </c>
      <c r="I278" s="5" t="s">
        <v>277</v>
      </c>
      <c r="J278" s="5" t="s">
        <v>278</v>
      </c>
    </row>
    <row r="279" spans="1:10" ht="244.8" x14ac:dyDescent="0.3">
      <c r="A279" s="5" t="str">
        <f>HYPERLINK("https://grants.gov/search-results-detail/357147","PAS-JOR-FY25-001")</f>
        <v>PAS-JOR-FY25-001</v>
      </c>
      <c r="B279" s="5" t="s">
        <v>881</v>
      </c>
      <c r="C279" s="5" t="s">
        <v>1446</v>
      </c>
      <c r="D279" s="5" t="s">
        <v>1447</v>
      </c>
      <c r="E279" s="6">
        <v>45677</v>
      </c>
      <c r="F279" s="8">
        <v>35000</v>
      </c>
      <c r="G279" s="8">
        <v>5000</v>
      </c>
      <c r="H279" s="5">
        <v>2</v>
      </c>
      <c r="I279" s="5" t="s">
        <v>1448</v>
      </c>
      <c r="J279" s="5" t="s">
        <v>1449</v>
      </c>
    </row>
    <row r="280" spans="1:10" ht="409.6" x14ac:dyDescent="0.3">
      <c r="A280" s="5" t="str">
        <f>HYPERLINK("https://grants.gov/search-results-detail/357948","DOS-KAZ-ALM-AEECA-25-002")</f>
        <v>DOS-KAZ-ALM-AEECA-25-002</v>
      </c>
      <c r="B280" s="5" t="s">
        <v>36</v>
      </c>
      <c r="C280" s="5" t="s">
        <v>37</v>
      </c>
      <c r="D280" s="5" t="s">
        <v>38</v>
      </c>
      <c r="E280" s="6">
        <v>45702</v>
      </c>
      <c r="F280" s="8">
        <v>62500</v>
      </c>
      <c r="G280" s="8">
        <v>0</v>
      </c>
      <c r="H280" s="5">
        <v>2</v>
      </c>
      <c r="I280" s="5" t="s">
        <v>39</v>
      </c>
      <c r="J280" s="5" t="s">
        <v>40</v>
      </c>
    </row>
    <row r="281" spans="1:10" ht="316.8" x14ac:dyDescent="0.3">
      <c r="A281" s="5" t="str">
        <f>HYPERLINK("https://grants.gov/search-results-detail/357897","DOS-KAZ-AST-ECA-25-001")</f>
        <v>DOS-KAZ-AST-ECA-25-001</v>
      </c>
      <c r="B281" s="5" t="s">
        <v>123</v>
      </c>
      <c r="C281" s="5" t="s">
        <v>37</v>
      </c>
      <c r="D281" s="5" t="s">
        <v>38</v>
      </c>
      <c r="E281" s="6">
        <v>45702</v>
      </c>
      <c r="F281" s="8">
        <v>35000</v>
      </c>
      <c r="G281" s="8">
        <v>5000</v>
      </c>
      <c r="H281" s="5">
        <v>3</v>
      </c>
      <c r="I281" s="5" t="s">
        <v>124</v>
      </c>
      <c r="J281" s="5" t="s">
        <v>125</v>
      </c>
    </row>
    <row r="282" spans="1:10" ht="86.4" x14ac:dyDescent="0.3">
      <c r="A282" s="5" t="str">
        <f>HYPERLINK("https://grants.gov/search-results-detail/357865","DOS-KAZ-AST-AEECA-25-001")</f>
        <v>DOS-KAZ-AST-AEECA-25-001</v>
      </c>
      <c r="B282" s="5" t="s">
        <v>163</v>
      </c>
      <c r="C282" s="5" t="s">
        <v>37</v>
      </c>
      <c r="D282" s="5" t="s">
        <v>38</v>
      </c>
      <c r="E282" s="6">
        <v>45716</v>
      </c>
      <c r="F282" s="8">
        <v>50000</v>
      </c>
      <c r="G282" s="8">
        <v>10000</v>
      </c>
      <c r="H282" s="5">
        <v>5</v>
      </c>
      <c r="I282" s="5" t="s">
        <v>164</v>
      </c>
      <c r="J282" s="5" t="s">
        <v>165</v>
      </c>
    </row>
    <row r="283" spans="1:10" ht="409.6" x14ac:dyDescent="0.3">
      <c r="A283" s="5" t="str">
        <f>HYPERLINK("https://grants.gov/search-results-detail/357860","DOS-NBO-PDS-FY25-002-AFCP")</f>
        <v>DOS-NBO-PDS-FY25-002-AFCP</v>
      </c>
      <c r="B283" s="5" t="s">
        <v>150</v>
      </c>
      <c r="C283" s="5" t="s">
        <v>151</v>
      </c>
      <c r="D283" s="5" t="s">
        <v>152</v>
      </c>
      <c r="E283" s="6">
        <v>45747</v>
      </c>
      <c r="F283" s="8">
        <v>500000</v>
      </c>
      <c r="G283" s="8">
        <v>25000</v>
      </c>
      <c r="H283" s="5">
        <v>1</v>
      </c>
      <c r="I283" s="5" t="s">
        <v>153</v>
      </c>
      <c r="J283" s="5" t="s">
        <v>154</v>
      </c>
    </row>
    <row r="284" spans="1:10" ht="409.6" x14ac:dyDescent="0.3">
      <c r="A284" s="5" t="str">
        <f>HYPERLINK("https://grants.gov/search-results-detail/357351","LBN-PDS-2025-AEIF")</f>
        <v>LBN-PDS-2025-AEIF</v>
      </c>
      <c r="B284" s="5" t="s">
        <v>1281</v>
      </c>
      <c r="C284" s="5" t="s">
        <v>1282</v>
      </c>
      <c r="D284" s="5" t="s">
        <v>1283</v>
      </c>
      <c r="E284" s="6">
        <v>45687</v>
      </c>
      <c r="F284" s="8">
        <v>35000</v>
      </c>
      <c r="G284" s="8">
        <v>5000</v>
      </c>
      <c r="H284" s="5">
        <v>2</v>
      </c>
      <c r="I284" s="5" t="s">
        <v>1284</v>
      </c>
      <c r="J284" s="5" t="s">
        <v>1285</v>
      </c>
    </row>
    <row r="285" spans="1:10" ht="409.6" x14ac:dyDescent="0.3">
      <c r="A285" s="5" t="str">
        <f>HYPERLINK("https://grants.gov/search-results-detail/357705","AF-MASFY25-01")</f>
        <v>AF-MASFY25-01</v>
      </c>
      <c r="B285" s="5" t="s">
        <v>814</v>
      </c>
      <c r="C285" s="5" t="s">
        <v>815</v>
      </c>
      <c r="D285" s="5" t="s">
        <v>816</v>
      </c>
      <c r="E285" s="6">
        <v>45691</v>
      </c>
      <c r="F285" s="8">
        <v>35000</v>
      </c>
      <c r="G285" s="8">
        <v>5000</v>
      </c>
      <c r="H285" s="5">
        <v>1</v>
      </c>
      <c r="I285" s="5" t="s">
        <v>817</v>
      </c>
      <c r="J285" s="5" t="s">
        <v>818</v>
      </c>
    </row>
    <row r="286" spans="1:10" ht="409.6" x14ac:dyDescent="0.3">
      <c r="A286" s="5" t="str">
        <f>HYPERLINK("https://grants.gov/search-results-detail/357779","LUXEM-PDS-FY25-01")</f>
        <v>LUXEM-PDS-FY25-01</v>
      </c>
      <c r="B286" s="5" t="s">
        <v>123</v>
      </c>
      <c r="C286" s="5" t="s">
        <v>287</v>
      </c>
      <c r="D286" s="5" t="s">
        <v>288</v>
      </c>
      <c r="E286" s="6">
        <v>45689</v>
      </c>
      <c r="F286" s="8">
        <v>25000</v>
      </c>
      <c r="G286" s="8">
        <v>5000</v>
      </c>
      <c r="H286" s="5"/>
      <c r="I286" s="5" t="s">
        <v>310</v>
      </c>
      <c r="J286" s="5" t="s">
        <v>311</v>
      </c>
    </row>
    <row r="287" spans="1:10" ht="409.6" x14ac:dyDescent="0.3">
      <c r="A287" s="5" t="str">
        <f>HYPERLINK("https://grants.gov/search-results-detail/357059","2025-1")</f>
        <v>2025-1</v>
      </c>
      <c r="B287" s="5" t="s">
        <v>1525</v>
      </c>
      <c r="C287" s="5" t="s">
        <v>1526</v>
      </c>
      <c r="D287" s="5" t="s">
        <v>1527</v>
      </c>
      <c r="E287" s="6">
        <v>45689</v>
      </c>
      <c r="F287" s="8">
        <v>35000</v>
      </c>
      <c r="G287" s="8">
        <v>5000</v>
      </c>
      <c r="H287" s="5"/>
      <c r="I287" s="5" t="s">
        <v>1528</v>
      </c>
      <c r="J287" s="5" t="s">
        <v>1529</v>
      </c>
    </row>
    <row r="288" spans="1:10" ht="409.6" x14ac:dyDescent="0.3">
      <c r="A288" s="5" t="str">
        <f>HYPERLINK("https://grants.gov/search-results-detail/356949","SMK800-25-PAS001")</f>
        <v>SMK800-25-PAS001</v>
      </c>
      <c r="B288" s="5" t="s">
        <v>1560</v>
      </c>
      <c r="C288" s="5" t="s">
        <v>184</v>
      </c>
      <c r="D288" s="5" t="s">
        <v>185</v>
      </c>
      <c r="E288" s="6">
        <v>45688</v>
      </c>
      <c r="F288" s="8">
        <v>35000</v>
      </c>
      <c r="G288" s="8">
        <v>5000</v>
      </c>
      <c r="H288" s="5">
        <v>2</v>
      </c>
      <c r="I288" s="5" t="s">
        <v>1561</v>
      </c>
      <c r="J288" s="5" t="s">
        <v>1562</v>
      </c>
    </row>
    <row r="289" spans="1:10" ht="201.6" x14ac:dyDescent="0.3">
      <c r="A289" s="5" t="str">
        <f>HYPERLINK("https://grants.gov/search-results-detail/356971","SMK800-25-PAS002")</f>
        <v>SMK800-25-PAS002</v>
      </c>
      <c r="B289" s="5" t="s">
        <v>1549</v>
      </c>
      <c r="C289" s="5" t="s">
        <v>184</v>
      </c>
      <c r="D289" s="5" t="s">
        <v>185</v>
      </c>
      <c r="E289" s="6">
        <v>45702</v>
      </c>
      <c r="F289" s="8">
        <v>80000</v>
      </c>
      <c r="G289" s="8">
        <v>20000</v>
      </c>
      <c r="H289" s="5">
        <v>2</v>
      </c>
      <c r="I289" s="5" t="s">
        <v>1550</v>
      </c>
      <c r="J289" s="5" t="s">
        <v>1551</v>
      </c>
    </row>
    <row r="290" spans="1:10" ht="216" x14ac:dyDescent="0.3">
      <c r="A290" s="5" t="str">
        <f>HYPERLINK("https://grants.gov/search-results-detail/357560","SMK800-25-PAS005")</f>
        <v>SMK800-25-PAS005</v>
      </c>
      <c r="B290" s="5" t="s">
        <v>1041</v>
      </c>
      <c r="C290" s="5" t="s">
        <v>184</v>
      </c>
      <c r="D290" s="5" t="s">
        <v>185</v>
      </c>
      <c r="E290" s="6">
        <v>45747</v>
      </c>
      <c r="F290" s="8">
        <v>50000</v>
      </c>
      <c r="G290" s="8">
        <v>1000</v>
      </c>
      <c r="H290" s="5">
        <v>12</v>
      </c>
      <c r="I290" s="5" t="s">
        <v>1042</v>
      </c>
      <c r="J290" s="5" t="s">
        <v>1043</v>
      </c>
    </row>
    <row r="291" spans="1:10" ht="409.6" x14ac:dyDescent="0.3">
      <c r="A291" s="5" t="str">
        <f>HYPERLINK("https://grants.gov/search-results-detail/357930","25-MMR-NOFO-002")</f>
        <v>25-MMR-NOFO-002</v>
      </c>
      <c r="B291" s="5" t="s">
        <v>62</v>
      </c>
      <c r="C291" s="5" t="s">
        <v>63</v>
      </c>
      <c r="D291" s="5" t="s">
        <v>64</v>
      </c>
      <c r="E291" s="6">
        <v>45762</v>
      </c>
      <c r="F291" s="8">
        <v>20000</v>
      </c>
      <c r="G291" s="8">
        <v>5000</v>
      </c>
      <c r="H291" s="5">
        <v>10</v>
      </c>
      <c r="I291" s="5" t="s">
        <v>65</v>
      </c>
      <c r="J291" s="5" t="s">
        <v>66</v>
      </c>
    </row>
    <row r="292" spans="1:10" ht="409.6" x14ac:dyDescent="0.3">
      <c r="A292" s="5" t="str">
        <f>HYPERLINK("https://grants.gov/search-results-detail/357931","25-MMR-NOFO-003")</f>
        <v>25-MMR-NOFO-003</v>
      </c>
      <c r="B292" s="5" t="s">
        <v>67</v>
      </c>
      <c r="C292" s="5" t="s">
        <v>63</v>
      </c>
      <c r="D292" s="5" t="s">
        <v>64</v>
      </c>
      <c r="E292" s="6">
        <v>45762</v>
      </c>
      <c r="F292" s="8">
        <v>10000</v>
      </c>
      <c r="G292" s="8">
        <v>5000</v>
      </c>
      <c r="H292" s="5">
        <v>10</v>
      </c>
      <c r="I292" s="5" t="s">
        <v>68</v>
      </c>
      <c r="J292" s="5" t="s">
        <v>66</v>
      </c>
    </row>
    <row r="293" spans="1:10" ht="409.6" x14ac:dyDescent="0.3">
      <c r="A293" s="5" t="str">
        <f>HYPERLINK("https://grants.gov/search-results-detail/357895","25-MMR-NOFO-001")</f>
        <v>25-MMR-NOFO-001</v>
      </c>
      <c r="B293" s="5" t="s">
        <v>120</v>
      </c>
      <c r="C293" s="5" t="s">
        <v>63</v>
      </c>
      <c r="D293" s="5" t="s">
        <v>64</v>
      </c>
      <c r="E293" s="6">
        <v>45762</v>
      </c>
      <c r="F293" s="8">
        <v>99999</v>
      </c>
      <c r="G293" s="8">
        <v>5000</v>
      </c>
      <c r="H293" s="5">
        <v>10</v>
      </c>
      <c r="I293" s="5" t="s">
        <v>121</v>
      </c>
      <c r="J293" s="5" t="s">
        <v>122</v>
      </c>
    </row>
    <row r="294" spans="1:10" ht="409.6" x14ac:dyDescent="0.3">
      <c r="A294" s="5" t="str">
        <f>HYPERLINK("https://grants.gov/search-results-detail/357107","AF-PD-MAP-FY25-03")</f>
        <v>AF-PD-MAP-FY25-03</v>
      </c>
      <c r="B294" s="5" t="s">
        <v>1467</v>
      </c>
      <c r="C294" s="5" t="s">
        <v>1468</v>
      </c>
      <c r="D294" s="5" t="s">
        <v>1469</v>
      </c>
      <c r="E294" s="6">
        <v>45674</v>
      </c>
      <c r="F294" s="8">
        <v>35000</v>
      </c>
      <c r="G294" s="8">
        <v>5000</v>
      </c>
      <c r="H294" s="5">
        <v>2</v>
      </c>
      <c r="I294" s="5" t="s">
        <v>1470</v>
      </c>
      <c r="J294" s="5" t="s">
        <v>1471</v>
      </c>
    </row>
    <row r="295" spans="1:10" ht="331.2" x14ac:dyDescent="0.3">
      <c r="A295" s="5" t="str">
        <f>HYPERLINK("https://grants.gov/search-results-detail/357639","PORTLOUIS-AEIF-FY25-01")</f>
        <v>PORTLOUIS-AEIF-FY25-01</v>
      </c>
      <c r="B295" s="5" t="s">
        <v>891</v>
      </c>
      <c r="C295" s="5" t="s">
        <v>887</v>
      </c>
      <c r="D295" s="5" t="s">
        <v>888</v>
      </c>
      <c r="E295" s="6">
        <v>45688</v>
      </c>
      <c r="F295" s="8">
        <v>35000</v>
      </c>
      <c r="G295" s="8">
        <v>5000</v>
      </c>
      <c r="H295" s="5">
        <v>10</v>
      </c>
      <c r="I295" s="5" t="s">
        <v>892</v>
      </c>
      <c r="J295" s="5" t="s">
        <v>893</v>
      </c>
    </row>
    <row r="296" spans="1:10" ht="409.6" x14ac:dyDescent="0.3">
      <c r="A296" s="5" t="str">
        <f>HYPERLINK("https://grants.gov/search-results-detail/357638","PORTLOUIS-AWE-FY25-01")</f>
        <v>PORTLOUIS-AWE-FY25-01</v>
      </c>
      <c r="B296" s="5" t="s">
        <v>886</v>
      </c>
      <c r="C296" s="5" t="s">
        <v>887</v>
      </c>
      <c r="D296" s="5" t="s">
        <v>888</v>
      </c>
      <c r="E296" s="6">
        <v>45691</v>
      </c>
      <c r="F296" s="8">
        <v>25000</v>
      </c>
      <c r="G296" s="8">
        <v>17000</v>
      </c>
      <c r="H296" s="5"/>
      <c r="I296" s="5" t="s">
        <v>889</v>
      </c>
      <c r="J296" s="5" t="s">
        <v>890</v>
      </c>
    </row>
    <row r="297" spans="1:10" ht="302.39999999999998" x14ac:dyDescent="0.3">
      <c r="A297" s="5" t="str">
        <f>HYPERLINK("https://grants.gov/search-results-detail/357085","WINDHOEKAEIF-FY25-04-01")</f>
        <v>WINDHOEKAEIF-FY25-04-01</v>
      </c>
      <c r="B297" s="5" t="s">
        <v>123</v>
      </c>
      <c r="C297" s="5" t="s">
        <v>1492</v>
      </c>
      <c r="D297" s="5" t="s">
        <v>1493</v>
      </c>
      <c r="E297" s="6">
        <v>45702</v>
      </c>
      <c r="F297" s="8">
        <v>35000</v>
      </c>
      <c r="G297" s="8">
        <v>5000</v>
      </c>
      <c r="H297" s="5">
        <v>2</v>
      </c>
      <c r="I297" s="5" t="s">
        <v>1494</v>
      </c>
      <c r="J297" s="5" t="s">
        <v>1495</v>
      </c>
    </row>
    <row r="298" spans="1:10" ht="409.6" x14ac:dyDescent="0.3">
      <c r="A298" s="5" t="str">
        <f>HYPERLINK("https://grants.gov/search-results-detail/356735","NEAAC24MERC1002")</f>
        <v>NEAAC24MERC1002</v>
      </c>
      <c r="B298" s="5" t="s">
        <v>1731</v>
      </c>
      <c r="C298" s="5" t="s">
        <v>1732</v>
      </c>
      <c r="D298" s="5" t="s">
        <v>1733</v>
      </c>
      <c r="E298" s="6">
        <v>45672</v>
      </c>
      <c r="F298" s="8">
        <v>1000000</v>
      </c>
      <c r="G298" s="8">
        <v>0</v>
      </c>
      <c r="H298" s="5">
        <v>5</v>
      </c>
      <c r="I298" s="5" t="s">
        <v>1734</v>
      </c>
      <c r="J298" s="5" t="s">
        <v>1735</v>
      </c>
    </row>
    <row r="299" spans="1:10" ht="259.2" x14ac:dyDescent="0.3">
      <c r="A299" s="5" t="str">
        <f>HYPERLINK("https://grants.gov/search-results-detail/357984","AF-PDS-APS-FY25-01")</f>
        <v>AF-PDS-APS-FY25-01</v>
      </c>
      <c r="B299" s="5" t="s">
        <v>685</v>
      </c>
      <c r="C299" s="5" t="s">
        <v>686</v>
      </c>
      <c r="D299" s="5" t="s">
        <v>687</v>
      </c>
      <c r="E299" s="6">
        <v>45719</v>
      </c>
      <c r="F299" s="8">
        <v>50000</v>
      </c>
      <c r="G299" s="8">
        <v>20000</v>
      </c>
      <c r="H299" s="5">
        <v>22</v>
      </c>
      <c r="I299" s="5" t="s">
        <v>688</v>
      </c>
      <c r="J299" s="5" t="s">
        <v>689</v>
      </c>
    </row>
    <row r="300" spans="1:10" ht="409.6" x14ac:dyDescent="0.3">
      <c r="A300" s="5" t="str">
        <f>HYPERLINK("https://grants.gov/search-results-detail/357896","PDS-OSL-FY25-0002")</f>
        <v>PDS-OSL-FY25-0002</v>
      </c>
      <c r="B300" s="5" t="s">
        <v>131</v>
      </c>
      <c r="C300" s="5" t="s">
        <v>132</v>
      </c>
      <c r="D300" s="5" t="s">
        <v>133</v>
      </c>
      <c r="E300" s="6">
        <v>45703</v>
      </c>
      <c r="F300" s="8">
        <v>35000</v>
      </c>
      <c r="G300" s="8">
        <v>5000</v>
      </c>
      <c r="H300" s="5"/>
      <c r="I300" s="5" t="s">
        <v>134</v>
      </c>
      <c r="J300" s="5" t="s">
        <v>135</v>
      </c>
    </row>
    <row r="301" spans="1:10" ht="403.2" x14ac:dyDescent="0.3">
      <c r="A301" s="5" t="str">
        <f>HYPERLINK("https://grants.gov/search-results-detail/357636","FY25-PHL-AEIF")</f>
        <v>FY25-PHL-AEIF</v>
      </c>
      <c r="B301" s="5" t="s">
        <v>934</v>
      </c>
      <c r="C301" s="5" t="s">
        <v>935</v>
      </c>
      <c r="D301" s="5" t="s">
        <v>936</v>
      </c>
      <c r="E301" s="6">
        <v>45698</v>
      </c>
      <c r="F301" s="8">
        <v>35000</v>
      </c>
      <c r="G301" s="8">
        <v>5000</v>
      </c>
      <c r="H301" s="5">
        <v>3</v>
      </c>
      <c r="I301" s="5" t="s">
        <v>937</v>
      </c>
      <c r="J301" s="5" t="s">
        <v>938</v>
      </c>
    </row>
    <row r="302" spans="1:10" ht="259.2" x14ac:dyDescent="0.3">
      <c r="A302" s="5" t="str">
        <f>HYPERLINK("https://grants.gov/search-results-detail/357513","DFOP0017037")</f>
        <v>DFOP0017037</v>
      </c>
      <c r="B302" s="5" t="s">
        <v>1184</v>
      </c>
      <c r="C302" s="5" t="s">
        <v>85</v>
      </c>
      <c r="D302" s="5" t="s">
        <v>86</v>
      </c>
      <c r="E302" s="6">
        <v>45674</v>
      </c>
      <c r="F302" s="8">
        <v>5000000</v>
      </c>
      <c r="G302" s="8">
        <v>500000</v>
      </c>
      <c r="H302" s="5">
        <v>0</v>
      </c>
      <c r="I302" s="5" t="s">
        <v>1185</v>
      </c>
      <c r="J302" s="5" t="s">
        <v>1186</v>
      </c>
    </row>
    <row r="303" spans="1:10" ht="302.39999999999998" x14ac:dyDescent="0.3">
      <c r="A303" s="5" t="str">
        <f>HYPERLINK("https://grants.gov/search-results-detail/357816","DFOP0017083")</f>
        <v>DFOP0017083</v>
      </c>
      <c r="B303" s="5" t="s">
        <v>293</v>
      </c>
      <c r="C303" s="5" t="s">
        <v>85</v>
      </c>
      <c r="D303" s="5" t="s">
        <v>86</v>
      </c>
      <c r="E303" s="6">
        <v>45706</v>
      </c>
      <c r="F303" s="8">
        <v>750000</v>
      </c>
      <c r="G303" s="8">
        <v>350000</v>
      </c>
      <c r="H303" s="5">
        <v>0</v>
      </c>
      <c r="I303" s="5" t="s">
        <v>294</v>
      </c>
      <c r="J303" s="5" t="s">
        <v>295</v>
      </c>
    </row>
    <row r="304" spans="1:10" ht="230.4" x14ac:dyDescent="0.3">
      <c r="A304" s="5" t="str">
        <f>HYPERLINK("https://grants.gov/search-results-detail/358130","DFOP0017087")</f>
        <v>DFOP0017087</v>
      </c>
      <c r="B304" s="5" t="s">
        <v>476</v>
      </c>
      <c r="C304" s="5" t="s">
        <v>85</v>
      </c>
      <c r="D304" s="5" t="s">
        <v>86</v>
      </c>
      <c r="E304" s="6">
        <v>45716</v>
      </c>
      <c r="F304" s="8">
        <v>3400000</v>
      </c>
      <c r="G304" s="8">
        <v>750000</v>
      </c>
      <c r="H304" s="5">
        <v>0</v>
      </c>
      <c r="I304" s="5" t="s">
        <v>477</v>
      </c>
      <c r="J304" s="5" t="s">
        <v>478</v>
      </c>
    </row>
    <row r="305" spans="1:10" ht="409.6" x14ac:dyDescent="0.3">
      <c r="A305" s="5" t="str">
        <f>HYPERLINK("https://grants.gov/search-results-detail/357944","DFOP0017104")</f>
        <v>DFOP0017104</v>
      </c>
      <c r="B305" s="5" t="s">
        <v>84</v>
      </c>
      <c r="C305" s="5" t="s">
        <v>85</v>
      </c>
      <c r="D305" s="5" t="s">
        <v>86</v>
      </c>
      <c r="E305" s="6">
        <v>45716</v>
      </c>
      <c r="F305" s="8">
        <v>750000</v>
      </c>
      <c r="G305" s="8">
        <v>200000</v>
      </c>
      <c r="H305" s="5">
        <v>0</v>
      </c>
      <c r="I305" s="5" t="s">
        <v>87</v>
      </c>
      <c r="J305" s="5" t="s">
        <v>88</v>
      </c>
    </row>
    <row r="306" spans="1:10" ht="409.6" x14ac:dyDescent="0.3">
      <c r="A306" s="5" t="str">
        <f>HYPERLINK("https://grants.gov/search-results-detail/357414","OFOP0001693")</f>
        <v>OFOP0001693</v>
      </c>
      <c r="B306" s="5" t="s">
        <v>1239</v>
      </c>
      <c r="C306" s="5" t="s">
        <v>1240</v>
      </c>
      <c r="D306" s="5" t="s">
        <v>1241</v>
      </c>
      <c r="E306" s="6">
        <v>45689</v>
      </c>
      <c r="F306" s="8">
        <v>35000</v>
      </c>
      <c r="G306" s="8">
        <v>5000</v>
      </c>
      <c r="H306" s="5">
        <v>2</v>
      </c>
      <c r="I306" s="5" t="s">
        <v>1242</v>
      </c>
      <c r="J306" s="5" t="s">
        <v>1243</v>
      </c>
    </row>
    <row r="307" spans="1:10" ht="409.6" x14ac:dyDescent="0.3">
      <c r="A307" s="5" t="str">
        <f>HYPERLINK("https://grants.gov/search-results-detail/357898","DOSRUS-25-GR-001")</f>
        <v>DOSRUS-25-GR-001</v>
      </c>
      <c r="B307" s="5" t="s">
        <v>126</v>
      </c>
      <c r="C307" s="5" t="s">
        <v>127</v>
      </c>
      <c r="D307" s="5" t="s">
        <v>128</v>
      </c>
      <c r="E307" s="6">
        <v>45719</v>
      </c>
      <c r="F307" s="8">
        <v>250000</v>
      </c>
      <c r="G307" s="8">
        <v>25000</v>
      </c>
      <c r="H307" s="5">
        <v>100</v>
      </c>
      <c r="I307" s="5" t="s">
        <v>129</v>
      </c>
      <c r="J307" s="5" t="s">
        <v>130</v>
      </c>
    </row>
    <row r="308" spans="1:10" ht="409.6" x14ac:dyDescent="0.3">
      <c r="A308" s="5" t="str">
        <f>HYPERLINK("https://grants.gov/search-results-detail/357900","PDS-KIGALI-FY25-002")</f>
        <v>PDS-KIGALI-FY25-002</v>
      </c>
      <c r="B308" s="5" t="s">
        <v>142</v>
      </c>
      <c r="C308" s="5" t="s">
        <v>143</v>
      </c>
      <c r="D308" s="5" t="s">
        <v>144</v>
      </c>
      <c r="E308" s="6">
        <v>45711</v>
      </c>
      <c r="F308" s="8">
        <v>35000</v>
      </c>
      <c r="G308" s="8">
        <v>5000</v>
      </c>
      <c r="H308" s="5">
        <v>2</v>
      </c>
      <c r="I308" s="5" t="s">
        <v>145</v>
      </c>
      <c r="J308" s="5" t="s">
        <v>146</v>
      </c>
    </row>
    <row r="309" spans="1:10" ht="374.4" x14ac:dyDescent="0.3">
      <c r="A309" s="5" t="str">
        <f>HYPERLINK("https://grants.gov/search-results-detail/357915","DFOP0017101")</f>
        <v>DFOP0017101</v>
      </c>
      <c r="B309" s="5" t="s">
        <v>113</v>
      </c>
      <c r="C309" s="5" t="s">
        <v>114</v>
      </c>
      <c r="D309" s="5" t="s">
        <v>115</v>
      </c>
      <c r="E309" s="6">
        <v>45713</v>
      </c>
      <c r="F309" s="8">
        <v>493339</v>
      </c>
      <c r="G309" s="8">
        <v>493339</v>
      </c>
      <c r="H309" s="5">
        <v>1</v>
      </c>
      <c r="I309" s="5" t="s">
        <v>116</v>
      </c>
      <c r="J309" s="5" t="s">
        <v>117</v>
      </c>
    </row>
    <row r="310" spans="1:10" ht="409.6" x14ac:dyDescent="0.3">
      <c r="A310" s="5" t="str">
        <f>HYPERLINK("https://grants.gov/search-results-detail/357503","AEIFFY25")</f>
        <v>AEIFFY25</v>
      </c>
      <c r="B310" s="5" t="s">
        <v>1163</v>
      </c>
      <c r="C310" s="5" t="s">
        <v>1164</v>
      </c>
      <c r="D310" s="5" t="s">
        <v>1165</v>
      </c>
      <c r="E310" s="6">
        <v>45688</v>
      </c>
      <c r="F310" s="8">
        <v>35000</v>
      </c>
      <c r="G310" s="8">
        <v>5000</v>
      </c>
      <c r="H310" s="5"/>
      <c r="I310" s="5" t="s">
        <v>1166</v>
      </c>
      <c r="J310" s="5" t="s">
        <v>1167</v>
      </c>
    </row>
    <row r="311" spans="1:10" ht="409.6" x14ac:dyDescent="0.3">
      <c r="A311" s="5" t="str">
        <f>HYPERLINK("https://grants.gov/search-results-detail/357596","OFOP0001704")</f>
        <v>OFOP0001704</v>
      </c>
      <c r="B311" s="5" t="s">
        <v>982</v>
      </c>
      <c r="C311" s="5" t="s">
        <v>983</v>
      </c>
      <c r="D311" s="5" t="s">
        <v>984</v>
      </c>
      <c r="E311" s="6">
        <v>45674</v>
      </c>
      <c r="F311" s="8">
        <v>30000</v>
      </c>
      <c r="G311" s="8">
        <v>10000</v>
      </c>
      <c r="H311" s="5">
        <v>1</v>
      </c>
      <c r="I311" s="5" t="s">
        <v>985</v>
      </c>
      <c r="J311" s="5" t="s">
        <v>986</v>
      </c>
    </row>
    <row r="312" spans="1:10" ht="115.2" x14ac:dyDescent="0.3">
      <c r="A312" s="5" t="str">
        <f>HYPERLINK("https://grants.gov/search-results-detail/357489","OFOP0001700")</f>
        <v>OFOP0001700</v>
      </c>
      <c r="B312" s="5" t="s">
        <v>1204</v>
      </c>
      <c r="C312" s="5" t="s">
        <v>983</v>
      </c>
      <c r="D312" s="5" t="s">
        <v>984</v>
      </c>
      <c r="E312" s="6">
        <v>45697</v>
      </c>
      <c r="F312" s="8">
        <v>35000</v>
      </c>
      <c r="G312" s="8">
        <v>5000</v>
      </c>
      <c r="H312" s="5">
        <v>1</v>
      </c>
      <c r="I312" s="5" t="s">
        <v>1205</v>
      </c>
      <c r="J312" s="5" t="s">
        <v>1206</v>
      </c>
    </row>
    <row r="313" spans="1:10" ht="409.6" x14ac:dyDescent="0.3">
      <c r="A313" s="5" t="str">
        <f>HYPERLINK("https://grants.gov/search-results-detail/357531","PAR-AEIF25")</f>
        <v>PAR-AEIF25</v>
      </c>
      <c r="B313" s="5" t="s">
        <v>814</v>
      </c>
      <c r="C313" s="5" t="s">
        <v>1112</v>
      </c>
      <c r="D313" s="5" t="s">
        <v>1113</v>
      </c>
      <c r="E313" s="6">
        <v>45672</v>
      </c>
      <c r="F313" s="8">
        <v>35000</v>
      </c>
      <c r="G313" s="8">
        <v>5000</v>
      </c>
      <c r="H313" s="5">
        <v>2</v>
      </c>
      <c r="I313" s="5" t="s">
        <v>1114</v>
      </c>
      <c r="J313" s="5" t="s">
        <v>1115</v>
      </c>
    </row>
    <row r="314" spans="1:10" ht="259.2" x14ac:dyDescent="0.3">
      <c r="A314" s="5" t="str">
        <f>HYPERLINK("https://grants.gov/search-results-detail/357217","PAS-SVK-FY2025-01")</f>
        <v>PAS-SVK-FY2025-01</v>
      </c>
      <c r="B314" s="5" t="s">
        <v>1406</v>
      </c>
      <c r="C314" s="5" t="s">
        <v>80</v>
      </c>
      <c r="D314" s="5" t="s">
        <v>81</v>
      </c>
      <c r="E314" s="6">
        <v>45688</v>
      </c>
      <c r="F314" s="8">
        <v>35000</v>
      </c>
      <c r="G314" s="8">
        <v>5000</v>
      </c>
      <c r="H314" s="5">
        <v>1</v>
      </c>
      <c r="I314" s="5" t="s">
        <v>1407</v>
      </c>
      <c r="J314" s="5" t="s">
        <v>1408</v>
      </c>
    </row>
    <row r="315" spans="1:10" ht="409.6" x14ac:dyDescent="0.3">
      <c r="A315" s="5" t="str">
        <f>HYPERLINK("https://grants.gov/search-results-detail/357933","PE-SVK-FY2025-04")</f>
        <v>PE-SVK-FY2025-04</v>
      </c>
      <c r="B315" s="5" t="s">
        <v>79</v>
      </c>
      <c r="C315" s="5" t="s">
        <v>80</v>
      </c>
      <c r="D315" s="5" t="s">
        <v>81</v>
      </c>
      <c r="E315" s="6">
        <v>45697</v>
      </c>
      <c r="F315" s="8">
        <v>35000</v>
      </c>
      <c r="G315" s="8">
        <v>10000</v>
      </c>
      <c r="H315" s="5">
        <v>1</v>
      </c>
      <c r="I315" s="5" t="s">
        <v>82</v>
      </c>
      <c r="J315" s="5" t="s">
        <v>83</v>
      </c>
    </row>
    <row r="316" spans="1:10" ht="187.2" x14ac:dyDescent="0.3">
      <c r="A316" s="5" t="str">
        <f>HYPERLINK("https://grants.gov/search-results-detail/357785","PAS-SVK-FY2025-03")</f>
        <v>PAS-SVK-FY2025-03</v>
      </c>
      <c r="B316" s="5" t="s">
        <v>314</v>
      </c>
      <c r="C316" s="5" t="s">
        <v>80</v>
      </c>
      <c r="D316" s="5" t="s">
        <v>81</v>
      </c>
      <c r="E316" s="6">
        <v>45697</v>
      </c>
      <c r="F316" s="8">
        <v>24999</v>
      </c>
      <c r="G316" s="8">
        <v>1000</v>
      </c>
      <c r="H316" s="5"/>
      <c r="I316" s="5" t="s">
        <v>742</v>
      </c>
      <c r="J316" s="5" t="s">
        <v>315</v>
      </c>
    </row>
    <row r="317" spans="1:10" ht="158.4" x14ac:dyDescent="0.3">
      <c r="A317" s="5" t="str">
        <f>HYPERLINK("https://grants.gov/search-results-detail/357784","PAS-SVK-FY2025-02")</f>
        <v>PAS-SVK-FY2025-02</v>
      </c>
      <c r="B317" s="5" t="s">
        <v>316</v>
      </c>
      <c r="C317" s="5" t="s">
        <v>80</v>
      </c>
      <c r="D317" s="5" t="s">
        <v>81</v>
      </c>
      <c r="E317" s="6">
        <v>45697</v>
      </c>
      <c r="F317" s="8">
        <v>24999</v>
      </c>
      <c r="G317" s="8">
        <v>1000</v>
      </c>
      <c r="H317" s="5"/>
      <c r="I317" s="5" t="s">
        <v>743</v>
      </c>
      <c r="J317" s="5" t="s">
        <v>317</v>
      </c>
    </row>
    <row r="318" spans="1:10" ht="216" x14ac:dyDescent="0.3">
      <c r="A318" s="5" t="str">
        <f>HYPERLINK("https://grants.gov/search-results-detail/357500","PAS-MBA-FY25-AEIF-01")</f>
        <v>PAS-MBA-FY25-AEIF-01</v>
      </c>
      <c r="B318" s="5" t="s">
        <v>1154</v>
      </c>
      <c r="C318" s="5" t="s">
        <v>1155</v>
      </c>
      <c r="D318" s="5" t="s">
        <v>1156</v>
      </c>
      <c r="E318" s="6">
        <v>45703</v>
      </c>
      <c r="F318" s="8">
        <v>35000</v>
      </c>
      <c r="G318" s="8">
        <v>5000</v>
      </c>
      <c r="H318" s="5">
        <v>3</v>
      </c>
      <c r="I318" s="5" t="s">
        <v>1157</v>
      </c>
      <c r="J318" s="5" t="s">
        <v>1158</v>
      </c>
    </row>
    <row r="319" spans="1:10" ht="409.6" x14ac:dyDescent="0.3">
      <c r="A319" s="5" t="str">
        <f>HYPERLINK("https://grants.gov/search-results-detail/357863","STI-400-25-CA-0001")</f>
        <v>STI-400-25-CA-0001</v>
      </c>
      <c r="B319" s="5" t="s">
        <v>158</v>
      </c>
      <c r="C319" s="5" t="s">
        <v>159</v>
      </c>
      <c r="D319" s="5" t="s">
        <v>160</v>
      </c>
      <c r="E319" s="6">
        <v>45677</v>
      </c>
      <c r="F319" s="8">
        <v>35000</v>
      </c>
      <c r="G319" s="8">
        <v>25000</v>
      </c>
      <c r="H319" s="5">
        <v>1</v>
      </c>
      <c r="I319" s="5" t="s">
        <v>161</v>
      </c>
      <c r="J319" s="5" t="s">
        <v>162</v>
      </c>
    </row>
    <row r="320" spans="1:10" ht="129.6" x14ac:dyDescent="0.3">
      <c r="A320" s="5" t="str">
        <f>HYPERLINK("https://grants.gov/search-results-detail/357703","12")</f>
        <v>12</v>
      </c>
      <c r="B320" s="5" t="s">
        <v>829</v>
      </c>
      <c r="C320" s="5" t="s">
        <v>830</v>
      </c>
      <c r="D320" s="5" t="s">
        <v>831</v>
      </c>
      <c r="E320" s="6">
        <v>45701</v>
      </c>
      <c r="F320" s="8">
        <v>250000</v>
      </c>
      <c r="G320" s="8">
        <v>25000</v>
      </c>
      <c r="H320" s="5">
        <v>10</v>
      </c>
      <c r="I320" s="5" t="s">
        <v>832</v>
      </c>
      <c r="J320" s="5" t="s">
        <v>833</v>
      </c>
    </row>
    <row r="321" spans="1:10" ht="409.6" x14ac:dyDescent="0.3">
      <c r="A321" s="5" t="str">
        <f>HYPERLINK("https://grants.gov/search-results-detail/344437","GVA-SGP-2023-002")</f>
        <v>GVA-SGP-2023-002</v>
      </c>
      <c r="B321" s="5" t="s">
        <v>2360</v>
      </c>
      <c r="C321" s="5" t="s">
        <v>2361</v>
      </c>
      <c r="D321" s="5" t="s">
        <v>2362</v>
      </c>
      <c r="E321" s="5"/>
      <c r="F321" s="8">
        <v>100000</v>
      </c>
      <c r="G321" s="8">
        <v>1000</v>
      </c>
      <c r="H321" s="5"/>
      <c r="I321" s="5" t="s">
        <v>2363</v>
      </c>
      <c r="J321" s="5" t="s">
        <v>2364</v>
      </c>
    </row>
    <row r="322" spans="1:10" ht="409.6" x14ac:dyDescent="0.3">
      <c r="A322" s="5" t="str">
        <f>HYPERLINK("https://grants.gov/search-results-detail/326733","GVA-SGP-2020-001")</f>
        <v>GVA-SGP-2020-001</v>
      </c>
      <c r="B322" s="5" t="s">
        <v>2583</v>
      </c>
      <c r="C322" s="5" t="s">
        <v>2361</v>
      </c>
      <c r="D322" s="5" t="s">
        <v>2362</v>
      </c>
      <c r="E322" s="5"/>
      <c r="F322" s="8">
        <v>15000</v>
      </c>
      <c r="G322" s="8">
        <v>5000</v>
      </c>
      <c r="H322" s="5">
        <v>5</v>
      </c>
      <c r="I322" s="5" t="s">
        <v>2584</v>
      </c>
      <c r="J322" s="5" t="s">
        <v>2585</v>
      </c>
    </row>
    <row r="323" spans="1:10" ht="409.6" x14ac:dyDescent="0.3">
      <c r="A323" s="5" t="str">
        <f>HYPERLINK("https://grants.gov/search-results-detail/357864","TASHKENT-PDS-FY25-002")</f>
        <v>TASHKENT-PDS-FY25-002</v>
      </c>
      <c r="B323" s="5" t="s">
        <v>166</v>
      </c>
      <c r="C323" s="5" t="s">
        <v>167</v>
      </c>
      <c r="D323" s="5" t="s">
        <v>168</v>
      </c>
      <c r="E323" s="6">
        <v>45716</v>
      </c>
      <c r="F323" s="8">
        <v>50000</v>
      </c>
      <c r="G323" s="8">
        <v>10000</v>
      </c>
      <c r="H323" s="5">
        <v>12</v>
      </c>
      <c r="I323" s="5" t="s">
        <v>169</v>
      </c>
      <c r="J323" s="5" t="s">
        <v>170</v>
      </c>
    </row>
    <row r="324" spans="1:10" ht="230.4" x14ac:dyDescent="0.3">
      <c r="A324" s="5" t="str">
        <f>HYPERLINK("https://grants.gov/search-results-detail/357932","PDS-HAN-HCMC-FY25")</f>
        <v>PDS-HAN-HCMC-FY25</v>
      </c>
      <c r="B324" s="5" t="s">
        <v>74</v>
      </c>
      <c r="C324" s="5" t="s">
        <v>75</v>
      </c>
      <c r="D324" s="5" t="s">
        <v>76</v>
      </c>
      <c r="E324" s="6">
        <v>45718</v>
      </c>
      <c r="F324" s="8">
        <v>30000</v>
      </c>
      <c r="G324" s="8">
        <v>7500</v>
      </c>
      <c r="H324" s="5">
        <v>25</v>
      </c>
      <c r="I324" s="5" t="s">
        <v>77</v>
      </c>
      <c r="J324" s="5" t="s">
        <v>78</v>
      </c>
    </row>
    <row r="325" spans="1:10" ht="345.6" x14ac:dyDescent="0.3">
      <c r="A325" s="5" t="str">
        <f>HYPERLINK("https://grants.gov/search-results-detail/357129","PAS-ZAF-FY25-01")</f>
        <v>PAS-ZAF-FY25-01</v>
      </c>
      <c r="B325" s="5" t="s">
        <v>123</v>
      </c>
      <c r="C325" s="5" t="s">
        <v>331</v>
      </c>
      <c r="D325" s="5" t="s">
        <v>332</v>
      </c>
      <c r="E325" s="6">
        <v>45695</v>
      </c>
      <c r="F325" s="8">
        <v>35000</v>
      </c>
      <c r="G325" s="8">
        <v>5000</v>
      </c>
      <c r="H325" s="5">
        <v>3</v>
      </c>
      <c r="I325" s="5" t="s">
        <v>1462</v>
      </c>
      <c r="J325" s="5" t="s">
        <v>1463</v>
      </c>
    </row>
    <row r="326" spans="1:10" ht="403.2" x14ac:dyDescent="0.3">
      <c r="A326" s="5" t="str">
        <f>HYPERLINK("https://grants.gov/search-results-detail/357677","PAS-ZAF-FY25-04")</f>
        <v>PAS-ZAF-FY25-04</v>
      </c>
      <c r="B326" s="5" t="s">
        <v>875</v>
      </c>
      <c r="C326" s="5" t="s">
        <v>331</v>
      </c>
      <c r="D326" s="5" t="s">
        <v>332</v>
      </c>
      <c r="E326" s="6">
        <v>45702</v>
      </c>
      <c r="F326" s="8">
        <v>65000</v>
      </c>
      <c r="G326" s="8">
        <v>25000</v>
      </c>
      <c r="H326" s="5">
        <v>1</v>
      </c>
      <c r="I326" s="5" t="s">
        <v>876</v>
      </c>
      <c r="J326" s="5" t="s">
        <v>877</v>
      </c>
    </row>
    <row r="327" spans="1:10" ht="409.6" x14ac:dyDescent="0.3">
      <c r="A327" s="5" t="str">
        <f>HYPERLINK("https://grants.gov/search-results-detail/357678","PAS-ZAF-FY25-03")</f>
        <v>PAS-ZAF-FY25-03</v>
      </c>
      <c r="B327" s="5" t="s">
        <v>872</v>
      </c>
      <c r="C327" s="5" t="s">
        <v>331</v>
      </c>
      <c r="D327" s="5" t="s">
        <v>332</v>
      </c>
      <c r="E327" s="6">
        <v>45704</v>
      </c>
      <c r="F327" s="8">
        <v>69000</v>
      </c>
      <c r="G327" s="8">
        <v>25000</v>
      </c>
      <c r="H327" s="5">
        <v>1</v>
      </c>
      <c r="I327" s="5" t="s">
        <v>873</v>
      </c>
      <c r="J327" s="5" t="s">
        <v>874</v>
      </c>
    </row>
    <row r="328" spans="1:10" ht="230.4" x14ac:dyDescent="0.3">
      <c r="A328" s="5" t="str">
        <f>HYPERLINK("https://grants.gov/search-results-detail/357797","PAS-ZAF-FY25-02")</f>
        <v>PAS-ZAF-FY25-02</v>
      </c>
      <c r="B328" s="5" t="s">
        <v>330</v>
      </c>
      <c r="C328" s="5" t="s">
        <v>331</v>
      </c>
      <c r="D328" s="5" t="s">
        <v>332</v>
      </c>
      <c r="E328" s="5"/>
      <c r="F328" s="8">
        <v>25000</v>
      </c>
      <c r="G328" s="8">
        <v>5000</v>
      </c>
      <c r="H328" s="5">
        <v>10</v>
      </c>
      <c r="I328" s="5" t="s">
        <v>333</v>
      </c>
      <c r="J328" s="5" t="s">
        <v>334</v>
      </c>
    </row>
    <row r="329" spans="1:10" ht="409.6" x14ac:dyDescent="0.3">
      <c r="A329" s="5" t="str">
        <f>HYPERLINK("https://grants.gov/search-results-detail/357499","PCLM-2025")</f>
        <v>PCLM-2025</v>
      </c>
      <c r="B329" s="5" t="s">
        <v>968</v>
      </c>
      <c r="C329" s="5" t="s">
        <v>969</v>
      </c>
      <c r="D329" s="5" t="s">
        <v>970</v>
      </c>
      <c r="E329" s="6">
        <v>45705</v>
      </c>
      <c r="F329" s="8">
        <v>115000</v>
      </c>
      <c r="G329" s="8">
        <v>25000</v>
      </c>
      <c r="H329" s="5">
        <v>10</v>
      </c>
      <c r="I329" s="5" t="s">
        <v>971</v>
      </c>
      <c r="J329" s="5" t="s">
        <v>972</v>
      </c>
    </row>
    <row r="330" spans="1:10" ht="409.6" x14ac:dyDescent="0.3">
      <c r="A330" s="5" t="str">
        <f>HYPERLINK("https://grants.gov/search-results-detail/356890","DTOS59-25-RA-RAISE")</f>
        <v>DTOS59-25-RA-RAISE</v>
      </c>
      <c r="B330" s="5" t="s">
        <v>1575</v>
      </c>
      <c r="C330" s="5" t="s">
        <v>280</v>
      </c>
      <c r="D330" s="5" t="s">
        <v>281</v>
      </c>
      <c r="E330" s="6">
        <v>45687</v>
      </c>
      <c r="F330" s="8">
        <v>25000000</v>
      </c>
      <c r="G330" s="8">
        <v>0</v>
      </c>
      <c r="H330" s="5">
        <v>150</v>
      </c>
      <c r="I330" s="5" t="s">
        <v>1576</v>
      </c>
      <c r="J330" s="5" t="s">
        <v>1577</v>
      </c>
    </row>
    <row r="331" spans="1:10" ht="409.6" x14ac:dyDescent="0.3">
      <c r="A331" s="5" t="str">
        <f>HYPERLINK("https://grants.gov/search-results-detail/357673","DOT-OST-2024-103")</f>
        <v>DOT-OST-2024-103</v>
      </c>
      <c r="B331" s="5" t="s">
        <v>279</v>
      </c>
      <c r="C331" s="5" t="s">
        <v>280</v>
      </c>
      <c r="D331" s="5" t="s">
        <v>281</v>
      </c>
      <c r="E331" s="5"/>
      <c r="F331" s="8">
        <v>750000</v>
      </c>
      <c r="G331" s="8">
        <v>200000</v>
      </c>
      <c r="H331" s="5">
        <v>50</v>
      </c>
      <c r="I331" s="5" t="s">
        <v>741</v>
      </c>
      <c r="J331" s="5" t="s">
        <v>282</v>
      </c>
    </row>
    <row r="332" spans="1:10" ht="409.6" x14ac:dyDescent="0.3">
      <c r="A332" s="5" t="str">
        <f>HYPERLINK("https://grants.gov/search-results-detail/357969","NG-AWM-25-001")</f>
        <v>NG-AWM-25-001</v>
      </c>
      <c r="B332" s="5" t="s">
        <v>644</v>
      </c>
      <c r="C332" s="5" t="s">
        <v>645</v>
      </c>
      <c r="D332" s="5" t="s">
        <v>646</v>
      </c>
      <c r="E332" s="6">
        <v>45693</v>
      </c>
      <c r="F332" s="8">
        <v>1000000</v>
      </c>
      <c r="G332" s="8">
        <v>0</v>
      </c>
      <c r="H332" s="5">
        <v>9</v>
      </c>
      <c r="I332" s="5" t="s">
        <v>647</v>
      </c>
      <c r="J332" s="5" t="s">
        <v>648</v>
      </c>
    </row>
    <row r="333" spans="1:10" ht="409.6" x14ac:dyDescent="0.3">
      <c r="A333" s="5" t="str">
        <f>HYPERLINK("https://grants.gov/search-results-detail/357966","NG-AWP-25-001")</f>
        <v>NG-AWP-25-001</v>
      </c>
      <c r="B333" s="5" t="s">
        <v>649</v>
      </c>
      <c r="C333" s="5" t="s">
        <v>645</v>
      </c>
      <c r="D333" s="5" t="s">
        <v>646</v>
      </c>
      <c r="E333" s="6">
        <v>45693</v>
      </c>
      <c r="F333" s="8">
        <v>1000000</v>
      </c>
      <c r="G333" s="8">
        <v>0</v>
      </c>
      <c r="H333" s="5">
        <v>9</v>
      </c>
      <c r="I333" s="5" t="s">
        <v>650</v>
      </c>
      <c r="J333" s="5" t="s">
        <v>651</v>
      </c>
    </row>
    <row r="334" spans="1:10" ht="409.6" x14ac:dyDescent="0.3">
      <c r="A334" s="5" t="str">
        <f>HYPERLINK("https://grants.gov/search-results-detail/39841","FAA-COE-JAMS")</f>
        <v>FAA-COE-JAMS</v>
      </c>
      <c r="B334" s="5" t="s">
        <v>2190</v>
      </c>
      <c r="C334" s="5" t="s">
        <v>2191</v>
      </c>
      <c r="D334" s="5" t="s">
        <v>2192</v>
      </c>
      <c r="E334" s="5"/>
      <c r="F334" s="8">
        <v>20000000</v>
      </c>
      <c r="G334" s="8">
        <v>0</v>
      </c>
      <c r="H334" s="5"/>
      <c r="I334" s="5" t="s">
        <v>2193</v>
      </c>
      <c r="J334" s="5" t="s">
        <v>2194</v>
      </c>
    </row>
    <row r="335" spans="1:10" ht="409.6" x14ac:dyDescent="0.3">
      <c r="A335" s="5" t="str">
        <f>HYPERLINK("https://grants.gov/search-results-detail/356840","693JJ325NF00008")</f>
        <v>693JJ325NF00008</v>
      </c>
      <c r="B335" s="5" t="s">
        <v>1658</v>
      </c>
      <c r="C335" s="5" t="s">
        <v>1659</v>
      </c>
      <c r="D335" s="5" t="s">
        <v>1660</v>
      </c>
      <c r="E335" s="6">
        <v>45712</v>
      </c>
      <c r="F335" s="8">
        <v>876000000</v>
      </c>
      <c r="G335" s="8">
        <v>100000</v>
      </c>
      <c r="H335" s="5">
        <v>60</v>
      </c>
      <c r="I335" s="5" t="s">
        <v>1661</v>
      </c>
      <c r="J335" s="5" t="s">
        <v>1662</v>
      </c>
    </row>
    <row r="336" spans="1:10" ht="187.2" x14ac:dyDescent="0.3">
      <c r="A336" s="5" t="str">
        <f>HYPERLINK("https://grants.gov/search-results-detail/357793","FM-CDL-25-001")</f>
        <v>FM-CDL-25-001</v>
      </c>
      <c r="B336" s="5" t="s">
        <v>325</v>
      </c>
      <c r="C336" s="5" t="s">
        <v>326</v>
      </c>
      <c r="D336" s="5" t="s">
        <v>327</v>
      </c>
      <c r="E336" s="6">
        <v>45712</v>
      </c>
      <c r="F336" s="8">
        <v>88700000</v>
      </c>
      <c r="G336" s="8">
        <v>0</v>
      </c>
      <c r="H336" s="5">
        <v>55</v>
      </c>
      <c r="I336" s="5" t="s">
        <v>336</v>
      </c>
      <c r="J336" s="5" t="s">
        <v>329</v>
      </c>
    </row>
    <row r="337" spans="1:10" ht="259.2" x14ac:dyDescent="0.3">
      <c r="A337" s="5" t="str">
        <f>HYPERLINK("https://grants.gov/search-results-detail/357767","FM-DTG-25-001")</f>
        <v>FM-DTG-25-001</v>
      </c>
      <c r="B337" s="5" t="s">
        <v>335</v>
      </c>
      <c r="C337" s="5" t="s">
        <v>326</v>
      </c>
      <c r="D337" s="5" t="s">
        <v>327</v>
      </c>
      <c r="E337" s="6">
        <v>45713</v>
      </c>
      <c r="F337" s="8">
        <v>200000</v>
      </c>
      <c r="G337" s="8">
        <v>10000</v>
      </c>
      <c r="H337" s="5">
        <v>25</v>
      </c>
      <c r="I337" s="5" t="s">
        <v>328</v>
      </c>
      <c r="J337" s="5" t="s">
        <v>337</v>
      </c>
    </row>
    <row r="338" spans="1:10" ht="316.8" x14ac:dyDescent="0.3">
      <c r="A338" s="5" t="str">
        <f>HYPERLINK("https://grants.gov/search-results-detail/358067","FM-MHP-25-001")</f>
        <v>FM-MHP-25-001</v>
      </c>
      <c r="B338" s="5" t="s">
        <v>515</v>
      </c>
      <c r="C338" s="5" t="s">
        <v>326</v>
      </c>
      <c r="D338" s="5" t="s">
        <v>327</v>
      </c>
      <c r="E338" s="6">
        <v>45723</v>
      </c>
      <c r="F338" s="8">
        <v>46600000</v>
      </c>
      <c r="G338" s="8">
        <v>0</v>
      </c>
      <c r="H338" s="5">
        <v>30</v>
      </c>
      <c r="I338" s="5" t="s">
        <v>445</v>
      </c>
      <c r="J338" s="5" t="s">
        <v>516</v>
      </c>
    </row>
    <row r="339" spans="1:10" ht="288" x14ac:dyDescent="0.3">
      <c r="A339" s="5" t="str">
        <f>HYPERLINK("https://grants.gov/search-results-detail/357154","FTA-2025-003-TRI")</f>
        <v>FTA-2025-003-TRI</v>
      </c>
      <c r="B339" s="5" t="s">
        <v>1456</v>
      </c>
      <c r="C339" s="5" t="s">
        <v>1160</v>
      </c>
      <c r="D339" s="5" t="s">
        <v>1161</v>
      </c>
      <c r="E339" s="6">
        <v>45674</v>
      </c>
      <c r="F339" s="8">
        <v>10000000</v>
      </c>
      <c r="G339" s="8">
        <v>10000000</v>
      </c>
      <c r="H339" s="5">
        <v>1</v>
      </c>
      <c r="I339" s="5" t="s">
        <v>1457</v>
      </c>
      <c r="J339" s="5" t="s">
        <v>1458</v>
      </c>
    </row>
    <row r="340" spans="1:10" ht="86.4" x14ac:dyDescent="0.3">
      <c r="A340" s="5" t="str">
        <f>HYPERLINK("https://grants.gov/search-results-detail/357502","FTA-2025-002-TRI")</f>
        <v>FTA-2025-002-TRI</v>
      </c>
      <c r="B340" s="5" t="s">
        <v>1159</v>
      </c>
      <c r="C340" s="5" t="s">
        <v>1160</v>
      </c>
      <c r="D340" s="5" t="s">
        <v>1161</v>
      </c>
      <c r="E340" s="6">
        <v>45699</v>
      </c>
      <c r="F340" s="8">
        <v>5000000</v>
      </c>
      <c r="G340" s="8">
        <v>5000000</v>
      </c>
      <c r="H340" s="5">
        <v>1</v>
      </c>
      <c r="I340" s="5" t="s">
        <v>1028</v>
      </c>
      <c r="J340" s="5" t="s">
        <v>1162</v>
      </c>
    </row>
    <row r="341" spans="1:10" ht="100.8" x14ac:dyDescent="0.3">
      <c r="A341" s="5" t="str">
        <f>HYPERLINK("https://grants.gov/search-results-detail/358061","693JK325NF0005")</f>
        <v>693JK325NF0005</v>
      </c>
      <c r="B341" s="5" t="s">
        <v>584</v>
      </c>
      <c r="C341" s="5" t="s">
        <v>585</v>
      </c>
      <c r="D341" s="5" t="s">
        <v>586</v>
      </c>
      <c r="E341" s="6">
        <v>45719</v>
      </c>
      <c r="F341" s="8">
        <v>60000</v>
      </c>
      <c r="G341" s="8">
        <v>100</v>
      </c>
      <c r="H341" s="5">
        <v>25</v>
      </c>
      <c r="I341" s="5" t="s">
        <v>587</v>
      </c>
      <c r="J341" s="5" t="s">
        <v>588</v>
      </c>
    </row>
    <row r="342" spans="1:10" ht="172.8" x14ac:dyDescent="0.3">
      <c r="A342" s="5" t="str">
        <f>HYPERLINK("https://grants.gov/search-results-detail/358063","693JK325NF0006")</f>
        <v>693JK325NF0006</v>
      </c>
      <c r="B342" s="5" t="s">
        <v>589</v>
      </c>
      <c r="C342" s="5" t="s">
        <v>585</v>
      </c>
      <c r="D342" s="5" t="s">
        <v>586</v>
      </c>
      <c r="E342" s="6">
        <v>45719</v>
      </c>
      <c r="F342" s="8">
        <v>100000</v>
      </c>
      <c r="G342" s="8">
        <v>4000</v>
      </c>
      <c r="H342" s="5">
        <v>25</v>
      </c>
      <c r="I342" s="5" t="s">
        <v>590</v>
      </c>
      <c r="J342" s="5" t="s">
        <v>588</v>
      </c>
    </row>
    <row r="343" spans="1:10" ht="187.2" x14ac:dyDescent="0.3">
      <c r="A343" s="5" t="str">
        <f>HYPERLINK("https://grants.gov/search-results-detail/358028","693JK325NF0004")</f>
        <v>693JK325NF0004</v>
      </c>
      <c r="B343" s="5" t="s">
        <v>636</v>
      </c>
      <c r="C343" s="5" t="s">
        <v>585</v>
      </c>
      <c r="D343" s="5" t="s">
        <v>586</v>
      </c>
      <c r="E343" s="6">
        <v>45719</v>
      </c>
      <c r="F343" s="8">
        <v>100000</v>
      </c>
      <c r="G343" s="8">
        <v>50000</v>
      </c>
      <c r="H343" s="5">
        <v>30</v>
      </c>
      <c r="I343" s="5" t="s">
        <v>637</v>
      </c>
      <c r="J343" s="5" t="s">
        <v>638</v>
      </c>
    </row>
    <row r="344" spans="1:10" ht="409.6" x14ac:dyDescent="0.3">
      <c r="A344" s="5" t="str">
        <f>HYPERLINK("https://grants.gov/search-results-detail/356824","ED-GRANTS-102524-001")</f>
        <v>ED-GRANTS-102524-001</v>
      </c>
      <c r="B344" s="5" t="s">
        <v>1645</v>
      </c>
      <c r="C344" s="5" t="s">
        <v>181</v>
      </c>
      <c r="D344" s="5" t="s">
        <v>182</v>
      </c>
      <c r="E344" s="6">
        <v>45678</v>
      </c>
      <c r="F344" s="8">
        <v>180000</v>
      </c>
      <c r="G344" s="8" t="s">
        <v>8</v>
      </c>
      <c r="H344" s="5">
        <v>13</v>
      </c>
      <c r="I344" s="5" t="s">
        <v>1646</v>
      </c>
      <c r="J344" s="5" t="s">
        <v>1647</v>
      </c>
    </row>
    <row r="345" spans="1:10" ht="409.6" x14ac:dyDescent="0.3">
      <c r="A345" s="5" t="str">
        <f>HYPERLINK("https://grants.gov/search-results-detail/356825","ED-GRANTS-102524-002")</f>
        <v>ED-GRANTS-102524-002</v>
      </c>
      <c r="B345" s="5" t="s">
        <v>1648</v>
      </c>
      <c r="C345" s="5" t="s">
        <v>181</v>
      </c>
      <c r="D345" s="5" t="s">
        <v>182</v>
      </c>
      <c r="E345" s="6">
        <v>45678</v>
      </c>
      <c r="F345" s="8">
        <v>300000</v>
      </c>
      <c r="G345" s="8" t="s">
        <v>8</v>
      </c>
      <c r="H345" s="5">
        <v>7</v>
      </c>
      <c r="I345" s="5" t="s">
        <v>1646</v>
      </c>
      <c r="J345" s="5" t="s">
        <v>1649</v>
      </c>
    </row>
    <row r="346" spans="1:10" ht="409.6" x14ac:dyDescent="0.3">
      <c r="A346" s="5" t="str">
        <f>HYPERLINK("https://grants.gov/search-results-detail/356880","ED-GRANTS-103024-001")</f>
        <v>ED-GRANTS-103024-001</v>
      </c>
      <c r="B346" s="5" t="s">
        <v>1586</v>
      </c>
      <c r="C346" s="5" t="s">
        <v>181</v>
      </c>
      <c r="D346" s="5" t="s">
        <v>182</v>
      </c>
      <c r="E346" s="6">
        <v>45686</v>
      </c>
      <c r="F346" s="8">
        <v>60000</v>
      </c>
      <c r="G346" s="8">
        <v>15000</v>
      </c>
      <c r="H346" s="5">
        <v>80</v>
      </c>
      <c r="I346" s="5" t="s">
        <v>1587</v>
      </c>
      <c r="J346" s="5" t="s">
        <v>1588</v>
      </c>
    </row>
    <row r="347" spans="1:10" ht="409.6" x14ac:dyDescent="0.3">
      <c r="A347" s="5" t="str">
        <f>HYPERLINK("https://grants.gov/search-results-detail/357207","ED-GRANTS-112024-001")</f>
        <v>ED-GRANTS-112024-001</v>
      </c>
      <c r="B347" s="5" t="s">
        <v>1388</v>
      </c>
      <c r="C347" s="5" t="s">
        <v>181</v>
      </c>
      <c r="D347" s="5" t="s">
        <v>182</v>
      </c>
      <c r="E347" s="6">
        <v>45691</v>
      </c>
      <c r="F347" s="8">
        <v>5000000</v>
      </c>
      <c r="G347" s="8" t="s">
        <v>8</v>
      </c>
      <c r="H347" s="5">
        <v>29</v>
      </c>
      <c r="I347" s="5" t="s">
        <v>1389</v>
      </c>
      <c r="J347" s="5" t="s">
        <v>1390</v>
      </c>
    </row>
    <row r="348" spans="1:10" ht="409.6" x14ac:dyDescent="0.3">
      <c r="A348" s="5" t="str">
        <f>HYPERLINK("https://grants.gov/search-results-detail/357213","ED-GRANTS-112024-002")</f>
        <v>ED-GRANTS-112024-002</v>
      </c>
      <c r="B348" s="5" t="s">
        <v>1391</v>
      </c>
      <c r="C348" s="5" t="s">
        <v>181</v>
      </c>
      <c r="D348" s="5" t="s">
        <v>182</v>
      </c>
      <c r="E348" s="6">
        <v>45691</v>
      </c>
      <c r="F348" s="8">
        <v>5000000</v>
      </c>
      <c r="G348" s="8" t="s">
        <v>8</v>
      </c>
      <c r="H348" s="5">
        <v>8</v>
      </c>
      <c r="I348" s="5" t="s">
        <v>1392</v>
      </c>
      <c r="J348" s="5" t="s">
        <v>1393</v>
      </c>
    </row>
    <row r="349" spans="1:10" ht="403.2" x14ac:dyDescent="0.3">
      <c r="A349" s="5" t="str">
        <f>HYPERLINK("https://grants.gov/search-results-detail/357506","ED-GRANTS-120324-001")</f>
        <v>ED-GRANTS-120324-001</v>
      </c>
      <c r="B349" s="5" t="s">
        <v>1187</v>
      </c>
      <c r="C349" s="5" t="s">
        <v>181</v>
      </c>
      <c r="D349" s="5" t="s">
        <v>182</v>
      </c>
      <c r="E349" s="6">
        <v>45706</v>
      </c>
      <c r="F349" s="8" t="s">
        <v>8</v>
      </c>
      <c r="G349" s="8" t="s">
        <v>8</v>
      </c>
      <c r="H349" s="5">
        <v>4</v>
      </c>
      <c r="I349" s="5" t="s">
        <v>1188</v>
      </c>
      <c r="J349" s="5" t="s">
        <v>1189</v>
      </c>
    </row>
    <row r="350" spans="1:10" ht="409.6" x14ac:dyDescent="0.3">
      <c r="A350" s="5" t="str">
        <f>HYPERLINK("https://grants.gov/search-results-detail/357739","ED-GRANTS-121624-001")</f>
        <v>ED-GRANTS-121624-001</v>
      </c>
      <c r="B350" s="5" t="s">
        <v>384</v>
      </c>
      <c r="C350" s="5" t="s">
        <v>181</v>
      </c>
      <c r="D350" s="5" t="s">
        <v>182</v>
      </c>
      <c r="E350" s="6">
        <v>45719</v>
      </c>
      <c r="F350" s="8">
        <v>798050</v>
      </c>
      <c r="G350" s="8" t="s">
        <v>8</v>
      </c>
      <c r="H350" s="5">
        <v>64</v>
      </c>
      <c r="I350" s="5" t="s">
        <v>385</v>
      </c>
      <c r="J350" s="5" t="s">
        <v>386</v>
      </c>
    </row>
    <row r="351" spans="1:10" ht="409.6" x14ac:dyDescent="0.3">
      <c r="A351" s="5" t="str">
        <f>HYPERLINK("https://grants.gov/search-results-detail/356997","ED-GRANTS-110624-001")</f>
        <v>ED-GRANTS-110624-001</v>
      </c>
      <c r="B351" s="5" t="s">
        <v>1538</v>
      </c>
      <c r="C351" s="5" t="s">
        <v>181</v>
      </c>
      <c r="D351" s="5" t="s">
        <v>182</v>
      </c>
      <c r="E351" s="6">
        <v>45722</v>
      </c>
      <c r="F351" s="8">
        <v>750000</v>
      </c>
      <c r="G351" s="8" t="s">
        <v>8</v>
      </c>
      <c r="H351" s="5">
        <v>8</v>
      </c>
      <c r="I351" s="5" t="s">
        <v>1539</v>
      </c>
      <c r="J351" s="5" t="s">
        <v>1540</v>
      </c>
    </row>
    <row r="352" spans="1:10" ht="409.6" x14ac:dyDescent="0.3">
      <c r="A352" s="5" t="str">
        <f>HYPERLINK("https://grants.gov/search-results-detail/357007","ED-GRANTS-111224-001")</f>
        <v>ED-GRANTS-111224-001</v>
      </c>
      <c r="B352" s="5" t="s">
        <v>1522</v>
      </c>
      <c r="C352" s="5" t="s">
        <v>181</v>
      </c>
      <c r="D352" s="5" t="s">
        <v>182</v>
      </c>
      <c r="E352" s="6">
        <v>45723</v>
      </c>
      <c r="F352" s="8" t="s">
        <v>8</v>
      </c>
      <c r="G352" s="8" t="s">
        <v>8</v>
      </c>
      <c r="H352" s="5"/>
      <c r="I352" s="5" t="s">
        <v>1523</v>
      </c>
      <c r="J352" s="5" t="s">
        <v>1524</v>
      </c>
    </row>
    <row r="353" spans="1:10" ht="316.8" x14ac:dyDescent="0.3">
      <c r="A353" s="5" t="str">
        <f>HYPERLINK("https://grants.gov/search-results-detail/357997","ED-GRANTS-010825-001")</f>
        <v>ED-GRANTS-010825-001</v>
      </c>
      <c r="B353" s="5" t="s">
        <v>520</v>
      </c>
      <c r="C353" s="5" t="s">
        <v>181</v>
      </c>
      <c r="D353" s="5" t="s">
        <v>182</v>
      </c>
      <c r="E353" s="6">
        <v>45726</v>
      </c>
      <c r="F353" s="8" t="s">
        <v>8</v>
      </c>
      <c r="G353" s="8" t="s">
        <v>8</v>
      </c>
      <c r="H353" s="5">
        <v>15</v>
      </c>
      <c r="I353" s="5" t="s">
        <v>521</v>
      </c>
      <c r="J353" s="5" t="s">
        <v>522</v>
      </c>
    </row>
    <row r="354" spans="1:10" ht="409.6" x14ac:dyDescent="0.3">
      <c r="A354" s="5" t="str">
        <f>HYPERLINK("https://grants.gov/search-results-detail/358048","ED-GRANTS-010725-001")</f>
        <v>ED-GRANTS-010725-001</v>
      </c>
      <c r="B354" s="5" t="s">
        <v>564</v>
      </c>
      <c r="C354" s="5" t="s">
        <v>181</v>
      </c>
      <c r="D354" s="5" t="s">
        <v>182</v>
      </c>
      <c r="E354" s="6">
        <v>45726</v>
      </c>
      <c r="F354" s="8" t="s">
        <v>8</v>
      </c>
      <c r="G354" s="8" t="s">
        <v>8</v>
      </c>
      <c r="H354" s="5">
        <v>35</v>
      </c>
      <c r="I354" s="5" t="s">
        <v>565</v>
      </c>
      <c r="J354" s="5" t="s">
        <v>566</v>
      </c>
    </row>
    <row r="355" spans="1:10" ht="409.6" x14ac:dyDescent="0.3">
      <c r="A355" s="5" t="str">
        <f>HYPERLINK("https://grants.gov/search-results-detail/357775","ED-GRANTS-122024-001")</f>
        <v>ED-GRANTS-122024-001</v>
      </c>
      <c r="B355" s="5" t="s">
        <v>180</v>
      </c>
      <c r="C355" s="5" t="s">
        <v>181</v>
      </c>
      <c r="D355" s="5" t="s">
        <v>182</v>
      </c>
      <c r="E355" s="6">
        <v>45730</v>
      </c>
      <c r="F355" s="8">
        <v>15000000</v>
      </c>
      <c r="G355" s="8" t="s">
        <v>8</v>
      </c>
      <c r="H355" s="5">
        <v>2</v>
      </c>
      <c r="I355" s="5" t="s">
        <v>707</v>
      </c>
      <c r="J355" s="5" t="s">
        <v>183</v>
      </c>
    </row>
    <row r="356" spans="1:10" ht="409.6" x14ac:dyDescent="0.3">
      <c r="A356" s="5" t="str">
        <f>HYPERLINK("https://grants.gov/search-results-detail/335739","ED-GRANTS-092021-001")</f>
        <v>ED-GRANTS-092021-001</v>
      </c>
      <c r="B356" s="5" t="s">
        <v>2476</v>
      </c>
      <c r="C356" s="5" t="s">
        <v>181</v>
      </c>
      <c r="D356" s="5" t="s">
        <v>182</v>
      </c>
      <c r="E356" s="5"/>
      <c r="F356" s="8" t="s">
        <v>8</v>
      </c>
      <c r="G356" s="8" t="s">
        <v>8</v>
      </c>
      <c r="H356" s="5">
        <v>13</v>
      </c>
      <c r="I356" s="5" t="s">
        <v>2477</v>
      </c>
      <c r="J356" s="5" t="s">
        <v>2478</v>
      </c>
    </row>
    <row r="357" spans="1:10" ht="388.8" x14ac:dyDescent="0.3">
      <c r="A357" s="5" t="str">
        <f>HYPERLINK("https://grants.gov/search-results-detail/49325","ED-GRANTS-072909-002")</f>
        <v>ED-GRANTS-072909-002</v>
      </c>
      <c r="B357" s="5" t="s">
        <v>2861</v>
      </c>
      <c r="C357" s="5" t="s">
        <v>181</v>
      </c>
      <c r="D357" s="5" t="s">
        <v>182</v>
      </c>
      <c r="E357" s="5"/>
      <c r="F357" s="8" t="s">
        <v>8</v>
      </c>
      <c r="G357" s="8" t="s">
        <v>8</v>
      </c>
      <c r="H357" s="5"/>
      <c r="I357" s="5" t="s">
        <v>2862</v>
      </c>
      <c r="J357" s="5" t="s">
        <v>2863</v>
      </c>
    </row>
    <row r="358" spans="1:10" ht="115.2" x14ac:dyDescent="0.3">
      <c r="A358" s="5" t="str">
        <f>HYPERLINK("https://grants.gov/search-results-detail/357150","EPA-R10-WD-TWG-2025-01")</f>
        <v>EPA-R10-WD-TWG-2025-01</v>
      </c>
      <c r="B358" s="5" t="s">
        <v>1440</v>
      </c>
      <c r="C358" s="5" t="s">
        <v>357</v>
      </c>
      <c r="D358" s="5" t="s">
        <v>358</v>
      </c>
      <c r="E358" s="6">
        <v>45674</v>
      </c>
      <c r="F358" s="8">
        <v>600000</v>
      </c>
      <c r="G358" s="8" t="s">
        <v>8</v>
      </c>
      <c r="H358" s="5">
        <v>10</v>
      </c>
      <c r="I358" s="5" t="s">
        <v>1441</v>
      </c>
      <c r="J358" s="5" t="s">
        <v>1442</v>
      </c>
    </row>
    <row r="359" spans="1:10" ht="172.8" x14ac:dyDescent="0.3">
      <c r="A359" s="5" t="str">
        <f>HYPERLINK("https://grants.gov/search-results-detail/356595","EPA-I-R4-GM-2024-FARMER")</f>
        <v>EPA-I-R4-GM-2024-FARMER</v>
      </c>
      <c r="B359" s="5" t="s">
        <v>1834</v>
      </c>
      <c r="C359" s="5" t="s">
        <v>357</v>
      </c>
      <c r="D359" s="5" t="s">
        <v>358</v>
      </c>
      <c r="E359" s="6">
        <v>45685</v>
      </c>
      <c r="F359" s="8">
        <v>2000000</v>
      </c>
      <c r="G359" s="8" t="s">
        <v>8</v>
      </c>
      <c r="H359" s="5">
        <v>20</v>
      </c>
      <c r="I359" s="5" t="s">
        <v>1441</v>
      </c>
      <c r="J359" s="5" t="s">
        <v>1835</v>
      </c>
    </row>
    <row r="360" spans="1:10" ht="409.6" x14ac:dyDescent="0.3">
      <c r="A360" s="5" t="str">
        <f>HYPERLINK("https://grants.gov/search-results-detail/357765","EPA-R-HQ-UCECA-25-01")</f>
        <v>EPA-R-HQ-UCECA-25-01</v>
      </c>
      <c r="B360" s="5" t="s">
        <v>356</v>
      </c>
      <c r="C360" s="5" t="s">
        <v>357</v>
      </c>
      <c r="D360" s="5" t="s">
        <v>358</v>
      </c>
      <c r="E360" s="6">
        <v>45713</v>
      </c>
      <c r="F360" s="8">
        <v>2500000</v>
      </c>
      <c r="G360" s="8" t="s">
        <v>8</v>
      </c>
      <c r="H360" s="5">
        <v>1</v>
      </c>
      <c r="I360" s="5" t="s">
        <v>359</v>
      </c>
      <c r="J360" s="5" t="s">
        <v>360</v>
      </c>
    </row>
    <row r="361" spans="1:10" ht="409.6" x14ac:dyDescent="0.3">
      <c r="A361" s="5" t="str">
        <f>HYPERLINK("https://grants.gov/search-results-detail/356431","EPA-I-OLEM-ORCR-24-06")</f>
        <v>EPA-I-OLEM-ORCR-24-06</v>
      </c>
      <c r="B361" s="5" t="s">
        <v>1884</v>
      </c>
      <c r="C361" s="5" t="s">
        <v>357</v>
      </c>
      <c r="D361" s="5" t="s">
        <v>358</v>
      </c>
      <c r="E361" s="6">
        <v>45730</v>
      </c>
      <c r="F361" s="8">
        <v>1500000</v>
      </c>
      <c r="G361" s="8">
        <v>100000</v>
      </c>
      <c r="H361" s="5">
        <v>20</v>
      </c>
      <c r="I361" s="5" t="s">
        <v>1441</v>
      </c>
      <c r="J361" s="5" t="s">
        <v>1885</v>
      </c>
    </row>
    <row r="362" spans="1:10" ht="409.6" x14ac:dyDescent="0.3">
      <c r="A362" s="5" t="str">
        <f>HYPERLINK("https://grants.gov/search-results-detail/355732","HHS-2025-ACF-ECD-TH-0106")</f>
        <v>HHS-2025-ACF-ECD-TH-0106</v>
      </c>
      <c r="B362" s="5" t="s">
        <v>762</v>
      </c>
      <c r="C362" s="5" t="s">
        <v>763</v>
      </c>
      <c r="D362" s="5" t="s">
        <v>764</v>
      </c>
      <c r="E362" s="6">
        <v>45733</v>
      </c>
      <c r="F362" s="8">
        <v>1000000</v>
      </c>
      <c r="G362" s="8">
        <v>250000</v>
      </c>
      <c r="H362" s="5">
        <v>6</v>
      </c>
      <c r="I362" s="5" t="s">
        <v>765</v>
      </c>
      <c r="J362" s="5" t="s">
        <v>766</v>
      </c>
    </row>
    <row r="363" spans="1:10" ht="302.39999999999998" x14ac:dyDescent="0.3">
      <c r="A363" s="5" t="str">
        <f>HYPERLINK("https://grants.gov/search-results-detail/355942","HHS-2025-ACF-OHS-HC-R12-0162")</f>
        <v>HHS-2025-ACF-OHS-HC-R12-0162</v>
      </c>
      <c r="B363" s="5" t="s">
        <v>1422</v>
      </c>
      <c r="C363" s="5" t="s">
        <v>1423</v>
      </c>
      <c r="D363" s="5" t="s">
        <v>1424</v>
      </c>
      <c r="E363" s="6">
        <v>45678</v>
      </c>
      <c r="F363" s="8">
        <v>350000</v>
      </c>
      <c r="G363" s="8">
        <v>350000</v>
      </c>
      <c r="H363" s="5">
        <v>1</v>
      </c>
      <c r="I363" s="5" t="s">
        <v>1425</v>
      </c>
      <c r="J363" s="5" t="s">
        <v>1426</v>
      </c>
    </row>
    <row r="364" spans="1:10" ht="316.8" x14ac:dyDescent="0.3">
      <c r="A364" s="5" t="str">
        <f>HYPERLINK("https://grants.gov/search-results-detail/355809","HHS-2025-ACF-OHS-HC-R11-0161")</f>
        <v>HHS-2025-ACF-OHS-HC-R11-0161</v>
      </c>
      <c r="B364" s="5" t="s">
        <v>1427</v>
      </c>
      <c r="C364" s="5" t="s">
        <v>1423</v>
      </c>
      <c r="D364" s="5" t="s">
        <v>1424</v>
      </c>
      <c r="E364" s="6">
        <v>45678</v>
      </c>
      <c r="F364" s="8">
        <v>350000</v>
      </c>
      <c r="G364" s="8">
        <v>350000</v>
      </c>
      <c r="H364" s="5">
        <v>1</v>
      </c>
      <c r="I364" s="5" t="s">
        <v>1425</v>
      </c>
      <c r="J364" s="5" t="s">
        <v>1428</v>
      </c>
    </row>
    <row r="365" spans="1:10" ht="409.6" x14ac:dyDescent="0.3">
      <c r="A365" s="5" t="str">
        <f>HYPERLINK("https://grants.gov/search-results-detail/357226","HHS-2025-ACF-OHS-HI-0066")</f>
        <v>HHS-2025-ACF-OHS-HI-0066</v>
      </c>
      <c r="B365" s="5" t="s">
        <v>1434</v>
      </c>
      <c r="C365" s="5" t="s">
        <v>1423</v>
      </c>
      <c r="D365" s="5" t="s">
        <v>1424</v>
      </c>
      <c r="E365" s="6">
        <v>45678</v>
      </c>
      <c r="F365" s="8">
        <v>13183977</v>
      </c>
      <c r="G365" s="8">
        <v>1000000</v>
      </c>
      <c r="H365" s="5">
        <v>5</v>
      </c>
      <c r="I365" s="5" t="s">
        <v>1435</v>
      </c>
      <c r="J365" s="5" t="s">
        <v>1436</v>
      </c>
    </row>
    <row r="366" spans="1:10" ht="129.6" x14ac:dyDescent="0.3">
      <c r="A366" s="5" t="str">
        <f>HYPERLINK("https://grants.gov/search-results-detail/355870","HHS-2025-ACF-OHS-YT-R11-0156")</f>
        <v>HHS-2025-ACF-OHS-YT-R11-0156</v>
      </c>
      <c r="B366" s="5" t="s">
        <v>1437</v>
      </c>
      <c r="C366" s="5" t="s">
        <v>1423</v>
      </c>
      <c r="D366" s="5" t="s">
        <v>1424</v>
      </c>
      <c r="E366" s="6">
        <v>45678</v>
      </c>
      <c r="F366" s="8">
        <v>6000000</v>
      </c>
      <c r="G366" s="8">
        <v>500000</v>
      </c>
      <c r="H366" s="5">
        <v>12</v>
      </c>
      <c r="I366" s="5" t="s">
        <v>1438</v>
      </c>
      <c r="J366" s="5" t="s">
        <v>1439</v>
      </c>
    </row>
    <row r="367" spans="1:10" ht="409.6" x14ac:dyDescent="0.3">
      <c r="A367" s="5" t="str">
        <f>HYPERLINK("https://grants.gov/search-results-detail/355835","HHS-2025-ACL-AOA-CSSG-0010")</f>
        <v>HHS-2025-ACL-AOA-CSSG-0010</v>
      </c>
      <c r="B367" s="5" t="s">
        <v>894</v>
      </c>
      <c r="C367" s="5" t="s">
        <v>412</v>
      </c>
      <c r="D367" s="5" t="s">
        <v>413</v>
      </c>
      <c r="E367" s="6">
        <v>45707</v>
      </c>
      <c r="F367" s="8">
        <v>1250000</v>
      </c>
      <c r="G367" s="8">
        <v>1100000</v>
      </c>
      <c r="H367" s="5">
        <v>5</v>
      </c>
      <c r="I367" s="5" t="s">
        <v>895</v>
      </c>
      <c r="J367" s="5" t="s">
        <v>896</v>
      </c>
    </row>
    <row r="368" spans="1:10" ht="374.4" x14ac:dyDescent="0.3">
      <c r="A368" s="5" t="str">
        <f>HYPERLINK("https://grants.gov/search-results-detail/355839","HHS-2025-ACL-AOD-DDUC-0057")</f>
        <v>HHS-2025-ACL-AOD-DDUC-0057</v>
      </c>
      <c r="B368" s="5" t="s">
        <v>1256</v>
      </c>
      <c r="C368" s="5" t="s">
        <v>412</v>
      </c>
      <c r="D368" s="5" t="s">
        <v>413</v>
      </c>
      <c r="E368" s="6">
        <v>45712</v>
      </c>
      <c r="F368" s="8">
        <v>636192</v>
      </c>
      <c r="G368" s="8">
        <v>620675</v>
      </c>
      <c r="H368" s="5">
        <v>3</v>
      </c>
      <c r="I368" s="5" t="s">
        <v>1257</v>
      </c>
      <c r="J368" s="5" t="s">
        <v>1258</v>
      </c>
    </row>
    <row r="369" spans="1:10" ht="345.6" x14ac:dyDescent="0.3">
      <c r="A369" s="5" t="str">
        <f>HYPERLINK("https://grants.gov/search-results-detail/355836","HHS-2025-ACL-AOA-FPSG-0008")</f>
        <v>HHS-2025-ACL-AOA-FPSG-0008</v>
      </c>
      <c r="B369" s="5" t="s">
        <v>781</v>
      </c>
      <c r="C369" s="5" t="s">
        <v>412</v>
      </c>
      <c r="D369" s="5" t="s">
        <v>413</v>
      </c>
      <c r="E369" s="6">
        <v>45715</v>
      </c>
      <c r="F369" s="8">
        <v>1000000</v>
      </c>
      <c r="G369" s="8">
        <v>750000</v>
      </c>
      <c r="H369" s="5">
        <v>4</v>
      </c>
      <c r="I369" s="5" t="s">
        <v>782</v>
      </c>
      <c r="J369" s="5" t="s">
        <v>783</v>
      </c>
    </row>
    <row r="370" spans="1:10" ht="360" x14ac:dyDescent="0.3">
      <c r="A370" s="5" t="str">
        <f>HYPERLINK("https://grants.gov/search-results-detail/355843","HHS-2025-ACL-AOA-FPSG-0007")</f>
        <v>HHS-2025-ACL-AOA-FPSG-0007</v>
      </c>
      <c r="B370" s="5" t="s">
        <v>784</v>
      </c>
      <c r="C370" s="5" t="s">
        <v>412</v>
      </c>
      <c r="D370" s="5" t="s">
        <v>413</v>
      </c>
      <c r="E370" s="6">
        <v>45715</v>
      </c>
      <c r="F370" s="8">
        <v>1250000</v>
      </c>
      <c r="G370" s="8">
        <v>1250000</v>
      </c>
      <c r="H370" s="5">
        <v>2</v>
      </c>
      <c r="I370" s="5" t="s">
        <v>785</v>
      </c>
      <c r="J370" s="5" t="s">
        <v>786</v>
      </c>
    </row>
    <row r="371" spans="1:10" ht="244.8" x14ac:dyDescent="0.3">
      <c r="A371" s="5" t="str">
        <f>HYPERLINK("https://grants.gov/search-results-detail/357875","HHS-2025-ACL-NIDILRR-REGE-0120")</f>
        <v>HHS-2025-ACL-NIDILRR-REGE-0120</v>
      </c>
      <c r="B371" s="5" t="s">
        <v>711</v>
      </c>
      <c r="C371" s="5" t="s">
        <v>412</v>
      </c>
      <c r="D371" s="5" t="s">
        <v>413</v>
      </c>
      <c r="E371" s="6">
        <v>45722</v>
      </c>
      <c r="F371" s="8">
        <v>975000</v>
      </c>
      <c r="G371" s="8">
        <v>970000</v>
      </c>
      <c r="H371" s="5">
        <v>1</v>
      </c>
      <c r="I371" s="5" t="s">
        <v>712</v>
      </c>
      <c r="J371" s="5" t="s">
        <v>713</v>
      </c>
    </row>
    <row r="372" spans="1:10" ht="172.8" x14ac:dyDescent="0.3">
      <c r="A372" s="5" t="str">
        <f>HYPERLINK("https://grants.gov/search-results-detail/355685","HHS-2025-ACL-NIDILRR-RTHF-0123")</f>
        <v>HHS-2025-ACL-NIDILRR-RTHF-0123</v>
      </c>
      <c r="B372" s="5" t="s">
        <v>411</v>
      </c>
      <c r="C372" s="5" t="s">
        <v>412</v>
      </c>
      <c r="D372" s="5" t="s">
        <v>413</v>
      </c>
      <c r="E372" s="6">
        <v>45726</v>
      </c>
      <c r="F372" s="8">
        <v>925000</v>
      </c>
      <c r="G372" s="8">
        <v>920000</v>
      </c>
      <c r="H372" s="5">
        <v>1</v>
      </c>
      <c r="I372" s="5" t="s">
        <v>414</v>
      </c>
      <c r="J372" s="5" t="s">
        <v>415</v>
      </c>
    </row>
    <row r="373" spans="1:10" ht="374.4" x14ac:dyDescent="0.3">
      <c r="A373" s="5" t="str">
        <f>HYPERLINK("https://grants.gov/search-results-detail/355461","HHS-2025-ACL-NIDILRR-IFST-0107")</f>
        <v>HHS-2025-ACL-NIDILRR-IFST-0107</v>
      </c>
      <c r="B373" s="5" t="s">
        <v>842</v>
      </c>
      <c r="C373" s="5" t="s">
        <v>412</v>
      </c>
      <c r="D373" s="5" t="s">
        <v>413</v>
      </c>
      <c r="E373" s="6">
        <v>45733</v>
      </c>
      <c r="F373" s="8">
        <v>250000</v>
      </c>
      <c r="G373" s="8">
        <v>245000</v>
      </c>
      <c r="H373" s="5">
        <v>2</v>
      </c>
      <c r="I373" s="5" t="s">
        <v>843</v>
      </c>
      <c r="J373" s="5" t="s">
        <v>844</v>
      </c>
    </row>
    <row r="374" spans="1:10" ht="403.2" x14ac:dyDescent="0.3">
      <c r="A374" s="5" t="str">
        <f>HYPERLINK("https://grants.gov/search-results-detail/355459","HHS-2025-ACL-NIDILRR-IFST-0106")</f>
        <v>HHS-2025-ACL-NIDILRR-IFST-0106</v>
      </c>
      <c r="B374" s="5" t="s">
        <v>860</v>
      </c>
      <c r="C374" s="5" t="s">
        <v>412</v>
      </c>
      <c r="D374" s="5" t="s">
        <v>413</v>
      </c>
      <c r="E374" s="6">
        <v>45733</v>
      </c>
      <c r="F374" s="8">
        <v>250000</v>
      </c>
      <c r="G374" s="8">
        <v>245000</v>
      </c>
      <c r="H374" s="5">
        <v>2</v>
      </c>
      <c r="I374" s="5" t="s">
        <v>861</v>
      </c>
      <c r="J374" s="5" t="s">
        <v>862</v>
      </c>
    </row>
    <row r="375" spans="1:10" ht="230.4" x14ac:dyDescent="0.3">
      <c r="A375" s="5" t="str">
        <f>HYPERLINK("https://grants.gov/search-results-detail/355457","HHS-2025-ACL-NIDILRR-DPKT-0114")</f>
        <v>HHS-2025-ACL-NIDILRR-DPKT-0114</v>
      </c>
      <c r="B375" s="5" t="s">
        <v>1006</v>
      </c>
      <c r="C375" s="5" t="s">
        <v>412</v>
      </c>
      <c r="D375" s="5" t="s">
        <v>413</v>
      </c>
      <c r="E375" s="6">
        <v>45733</v>
      </c>
      <c r="F375" s="8">
        <v>250000</v>
      </c>
      <c r="G375" s="8">
        <v>245000</v>
      </c>
      <c r="H375" s="5">
        <v>5</v>
      </c>
      <c r="I375" s="5" t="s">
        <v>1007</v>
      </c>
      <c r="J375" s="5" t="s">
        <v>1008</v>
      </c>
    </row>
    <row r="376" spans="1:10" ht="172.8" x14ac:dyDescent="0.3">
      <c r="A376" s="5" t="str">
        <f>HYPERLINK("https://grants.gov/search-results-detail/355684","HHS-2025-ACL-NIDILRR-RTEM-0124")</f>
        <v>HHS-2025-ACL-NIDILRR-RTEM-0124</v>
      </c>
      <c r="B376" s="5" t="s">
        <v>691</v>
      </c>
      <c r="C376" s="5" t="s">
        <v>412</v>
      </c>
      <c r="D376" s="5" t="s">
        <v>413</v>
      </c>
      <c r="E376" s="6">
        <v>45747</v>
      </c>
      <c r="F376" s="8">
        <v>925000</v>
      </c>
      <c r="G376" s="8">
        <v>920000</v>
      </c>
      <c r="H376" s="5">
        <v>1</v>
      </c>
      <c r="I376" s="5" t="s">
        <v>692</v>
      </c>
      <c r="J376" s="5" t="s">
        <v>693</v>
      </c>
    </row>
    <row r="377" spans="1:10" ht="244.8" x14ac:dyDescent="0.3">
      <c r="A377" s="5" t="str">
        <f>HYPERLINK("https://grants.gov/search-results-detail/355687","HHS-2025-ACL-NIDILRR-REGE-0121")</f>
        <v>HHS-2025-ACL-NIDILRR-REGE-0121</v>
      </c>
      <c r="B377" s="5" t="s">
        <v>572</v>
      </c>
      <c r="C377" s="5" t="s">
        <v>412</v>
      </c>
      <c r="D377" s="5" t="s">
        <v>413</v>
      </c>
      <c r="E377" s="6">
        <v>45751</v>
      </c>
      <c r="F377" s="8">
        <v>975000</v>
      </c>
      <c r="G377" s="8">
        <v>970000</v>
      </c>
      <c r="H377" s="5">
        <v>1</v>
      </c>
      <c r="I377" s="5" t="s">
        <v>573</v>
      </c>
      <c r="J377" s="5" t="s">
        <v>574</v>
      </c>
    </row>
    <row r="378" spans="1:10" ht="158.4" x14ac:dyDescent="0.3">
      <c r="A378" s="5" t="str">
        <f>HYPERLINK("https://grants.gov/search-results-detail/335156","PA-22-050")</f>
        <v>PA-22-050</v>
      </c>
      <c r="B378" s="5" t="s">
        <v>2460</v>
      </c>
      <c r="C378" s="5" t="s">
        <v>463</v>
      </c>
      <c r="D378" s="5" t="s">
        <v>464</v>
      </c>
      <c r="E378" s="6">
        <v>45728</v>
      </c>
      <c r="F378" s="8" t="s">
        <v>8</v>
      </c>
      <c r="G378" s="8" t="s">
        <v>8</v>
      </c>
      <c r="H378" s="5"/>
      <c r="I378" s="5" t="s">
        <v>2461</v>
      </c>
      <c r="J378" s="5" t="s">
        <v>2462</v>
      </c>
    </row>
    <row r="379" spans="1:10" ht="100.8" x14ac:dyDescent="0.3">
      <c r="A379" s="5" t="str">
        <f>HYPERLINK("https://grants.gov/search-results-detail/335151","PA-22-049")</f>
        <v>PA-22-049</v>
      </c>
      <c r="B379" s="5" t="s">
        <v>2463</v>
      </c>
      <c r="C379" s="5" t="s">
        <v>463</v>
      </c>
      <c r="D379" s="5" t="s">
        <v>464</v>
      </c>
      <c r="E379" s="6">
        <v>45728</v>
      </c>
      <c r="F379" s="8" t="s">
        <v>8</v>
      </c>
      <c r="G379" s="8" t="s">
        <v>8</v>
      </c>
      <c r="H379" s="5"/>
      <c r="I379" s="5" t="s">
        <v>2464</v>
      </c>
      <c r="J379" s="5" t="s">
        <v>2465</v>
      </c>
    </row>
    <row r="380" spans="1:10" ht="244.8" x14ac:dyDescent="0.3">
      <c r="A380" s="5" t="str">
        <f>HYPERLINK("https://grants.gov/search-results-detail/358125","RFA-HS-25-001")</f>
        <v>RFA-HS-25-001</v>
      </c>
      <c r="B380" s="5" t="s">
        <v>462</v>
      </c>
      <c r="C380" s="5" t="s">
        <v>463</v>
      </c>
      <c r="D380" s="5" t="s">
        <v>464</v>
      </c>
      <c r="E380" s="6">
        <v>45757</v>
      </c>
      <c r="F380" s="8" t="s">
        <v>8</v>
      </c>
      <c r="G380" s="8" t="s">
        <v>8</v>
      </c>
      <c r="H380" s="5"/>
      <c r="I380" s="5" t="s">
        <v>465</v>
      </c>
      <c r="J380" s="5" t="s">
        <v>466</v>
      </c>
    </row>
    <row r="381" spans="1:10" ht="115.2" x14ac:dyDescent="0.3">
      <c r="A381" s="5" t="str">
        <f>HYPERLINK("https://grants.gov/search-results-detail/358020","ARPA-H-SOL-25-118")</f>
        <v>ARPA-H-SOL-25-118</v>
      </c>
      <c r="B381" s="5" t="s">
        <v>628</v>
      </c>
      <c r="C381" s="5" t="s">
        <v>629</v>
      </c>
      <c r="D381" s="5" t="s">
        <v>630</v>
      </c>
      <c r="E381" s="6">
        <v>45693</v>
      </c>
      <c r="F381" s="8">
        <v>700000</v>
      </c>
      <c r="G381" s="8">
        <v>1</v>
      </c>
      <c r="H381" s="5"/>
      <c r="I381" s="5" t="s">
        <v>631</v>
      </c>
      <c r="J381" s="5" t="s">
        <v>632</v>
      </c>
    </row>
    <row r="382" spans="1:10" ht="409.6" x14ac:dyDescent="0.3">
      <c r="A382" s="5" t="str">
        <f>HYPERLINK("https://grants.gov/search-results-detail/352988","ARPA-H-SOL-24-103")</f>
        <v>ARPA-H-SOL-24-103</v>
      </c>
      <c r="B382" s="5" t="s">
        <v>2074</v>
      </c>
      <c r="C382" s="5" t="s">
        <v>629</v>
      </c>
      <c r="D382" s="5" t="s">
        <v>630</v>
      </c>
      <c r="E382" s="6">
        <v>45730</v>
      </c>
      <c r="F382" s="8" t="s">
        <v>8</v>
      </c>
      <c r="G382" s="8" t="s">
        <v>8</v>
      </c>
      <c r="H382" s="5">
        <v>100</v>
      </c>
      <c r="I382" s="5" t="s">
        <v>55</v>
      </c>
      <c r="J382" s="5" t="s">
        <v>2075</v>
      </c>
    </row>
    <row r="383" spans="1:10" ht="409.6" x14ac:dyDescent="0.3">
      <c r="A383" s="5" t="str">
        <f>HYPERLINK("https://grants.gov/search-results-detail/352989","ARPA-H-SOL-24-105")</f>
        <v>ARPA-H-SOL-24-105</v>
      </c>
      <c r="B383" s="5" t="s">
        <v>2076</v>
      </c>
      <c r="C383" s="5" t="s">
        <v>629</v>
      </c>
      <c r="D383" s="5" t="s">
        <v>630</v>
      </c>
      <c r="E383" s="6">
        <v>45730</v>
      </c>
      <c r="F383" s="8" t="s">
        <v>8</v>
      </c>
      <c r="G383" s="8" t="s">
        <v>8</v>
      </c>
      <c r="H383" s="5">
        <v>100</v>
      </c>
      <c r="I383" s="5" t="s">
        <v>55</v>
      </c>
      <c r="J383" s="5" t="s">
        <v>2077</v>
      </c>
    </row>
    <row r="384" spans="1:10" ht="409.6" x14ac:dyDescent="0.3">
      <c r="A384" s="5" t="str">
        <f>HYPERLINK("https://grants.gov/search-results-detail/352990","ARPA-H-SOL-24-104")</f>
        <v>ARPA-H-SOL-24-104</v>
      </c>
      <c r="B384" s="5" t="s">
        <v>2078</v>
      </c>
      <c r="C384" s="5" t="s">
        <v>629</v>
      </c>
      <c r="D384" s="5" t="s">
        <v>630</v>
      </c>
      <c r="E384" s="6">
        <v>45730</v>
      </c>
      <c r="F384" s="8" t="s">
        <v>8</v>
      </c>
      <c r="G384" s="8" t="s">
        <v>8</v>
      </c>
      <c r="H384" s="5">
        <v>100</v>
      </c>
      <c r="I384" s="5" t="s">
        <v>55</v>
      </c>
      <c r="J384" s="5" t="s">
        <v>2079</v>
      </c>
    </row>
    <row r="385" spans="1:10" ht="409.6" x14ac:dyDescent="0.3">
      <c r="A385" s="5" t="str">
        <f>HYPERLINK("https://grants.gov/search-results-detail/352977","ARPA-H-SOL-24-106")</f>
        <v>ARPA-H-SOL-24-106</v>
      </c>
      <c r="B385" s="5" t="s">
        <v>2080</v>
      </c>
      <c r="C385" s="5" t="s">
        <v>629</v>
      </c>
      <c r="D385" s="5" t="s">
        <v>630</v>
      </c>
      <c r="E385" s="6">
        <v>45730</v>
      </c>
      <c r="F385" s="8" t="s">
        <v>8</v>
      </c>
      <c r="G385" s="8" t="s">
        <v>8</v>
      </c>
      <c r="H385" s="5"/>
      <c r="I385" s="5" t="s">
        <v>775</v>
      </c>
      <c r="J385" s="5" t="s">
        <v>2081</v>
      </c>
    </row>
    <row r="386" spans="1:10" ht="409.6" x14ac:dyDescent="0.3">
      <c r="A386" s="5" t="str">
        <f>HYPERLINK("https://grants.gov/search-results-detail/357079","ARPA-H-SOL-25-115")</f>
        <v>ARPA-H-SOL-25-115</v>
      </c>
      <c r="B386" s="5" t="s">
        <v>1490</v>
      </c>
      <c r="C386" s="5" t="s">
        <v>629</v>
      </c>
      <c r="D386" s="5" t="s">
        <v>630</v>
      </c>
      <c r="E386" s="6">
        <v>45761</v>
      </c>
      <c r="F386" s="8" t="s">
        <v>8</v>
      </c>
      <c r="G386" s="8" t="s">
        <v>8</v>
      </c>
      <c r="H386" s="5"/>
      <c r="I386" s="5" t="s">
        <v>13</v>
      </c>
      <c r="J386" s="5" t="s">
        <v>1491</v>
      </c>
    </row>
    <row r="387" spans="1:10" ht="360" x14ac:dyDescent="0.3">
      <c r="A387" s="5" t="str">
        <f>HYPERLINK("https://grants.gov/search-results-detail/355477","CDC-RFA-JG-25-0045")</f>
        <v>CDC-RFA-JG-25-0045</v>
      </c>
      <c r="B387" s="5" t="s">
        <v>1193</v>
      </c>
      <c r="C387" s="5" t="s">
        <v>756</v>
      </c>
      <c r="D387" s="5" t="s">
        <v>757</v>
      </c>
      <c r="E387" s="6">
        <v>45706</v>
      </c>
      <c r="F387" s="8">
        <v>0</v>
      </c>
      <c r="G387" s="8">
        <v>0</v>
      </c>
      <c r="H387" s="5">
        <v>2</v>
      </c>
      <c r="I387" s="5" t="s">
        <v>758</v>
      </c>
      <c r="J387" s="5" t="s">
        <v>1194</v>
      </c>
    </row>
    <row r="388" spans="1:10" ht="409.6" x14ac:dyDescent="0.3">
      <c r="A388" s="5" t="str">
        <f>HYPERLINK("https://grants.gov/search-results-detail/355518","CDC-RFA-JG-25-0099")</f>
        <v>CDC-RFA-JG-25-0099</v>
      </c>
      <c r="B388" s="5" t="s">
        <v>1198</v>
      </c>
      <c r="C388" s="5" t="s">
        <v>756</v>
      </c>
      <c r="D388" s="5" t="s">
        <v>757</v>
      </c>
      <c r="E388" s="6">
        <v>45706</v>
      </c>
      <c r="F388" s="8">
        <v>0</v>
      </c>
      <c r="G388" s="8">
        <v>0</v>
      </c>
      <c r="H388" s="5">
        <v>2</v>
      </c>
      <c r="I388" s="5" t="s">
        <v>336</v>
      </c>
      <c r="J388" s="5" t="s">
        <v>1199</v>
      </c>
    </row>
    <row r="389" spans="1:10" ht="230.4" x14ac:dyDescent="0.3">
      <c r="A389" s="5" t="str">
        <f>HYPERLINK("https://grants.gov/search-results-detail/355650","CDC-RFA-JG-25-0047")</f>
        <v>CDC-RFA-JG-25-0047</v>
      </c>
      <c r="B389" s="5" t="s">
        <v>1200</v>
      </c>
      <c r="C389" s="5" t="s">
        <v>756</v>
      </c>
      <c r="D389" s="5" t="s">
        <v>757</v>
      </c>
      <c r="E389" s="6">
        <v>45706</v>
      </c>
      <c r="F389" s="8">
        <v>0</v>
      </c>
      <c r="G389" s="8">
        <v>0</v>
      </c>
      <c r="H389" s="5">
        <v>2</v>
      </c>
      <c r="I389" s="5" t="s">
        <v>631</v>
      </c>
      <c r="J389" s="5" t="s">
        <v>1201</v>
      </c>
    </row>
    <row r="390" spans="1:10" ht="409.6" x14ac:dyDescent="0.3">
      <c r="A390" s="5" t="str">
        <f>HYPERLINK("https://grants.gov/search-results-detail/355479","CDC-RFA-JG-25-0065")</f>
        <v>CDC-RFA-JG-25-0065</v>
      </c>
      <c r="B390" s="5" t="s">
        <v>1202</v>
      </c>
      <c r="C390" s="5" t="s">
        <v>756</v>
      </c>
      <c r="D390" s="5" t="s">
        <v>757</v>
      </c>
      <c r="E390" s="6">
        <v>45706</v>
      </c>
      <c r="F390" s="8">
        <v>0</v>
      </c>
      <c r="G390" s="8">
        <v>0</v>
      </c>
      <c r="H390" s="5">
        <v>1</v>
      </c>
      <c r="I390" s="5" t="s">
        <v>1025</v>
      </c>
      <c r="J390" s="5" t="s">
        <v>1203</v>
      </c>
    </row>
    <row r="391" spans="1:10" ht="259.2" x14ac:dyDescent="0.3">
      <c r="A391" s="5" t="str">
        <f>HYPERLINK("https://grants.gov/search-results-detail/355445","CDC-RFA-JG-25-0048")</f>
        <v>CDC-RFA-JG-25-0048</v>
      </c>
      <c r="B391" s="5" t="s">
        <v>1221</v>
      </c>
      <c r="C391" s="5" t="s">
        <v>756</v>
      </c>
      <c r="D391" s="5" t="s">
        <v>757</v>
      </c>
      <c r="E391" s="6">
        <v>45706</v>
      </c>
      <c r="F391" s="8">
        <v>0</v>
      </c>
      <c r="G391" s="8">
        <v>0</v>
      </c>
      <c r="H391" s="5">
        <v>2</v>
      </c>
      <c r="I391" s="5" t="s">
        <v>599</v>
      </c>
      <c r="J391" s="5" t="s">
        <v>1222</v>
      </c>
    </row>
    <row r="392" spans="1:10" ht="409.6" x14ac:dyDescent="0.3">
      <c r="A392" s="5" t="str">
        <f>HYPERLINK("https://grants.gov/search-results-detail/355657","CDC-RFA-JG-25-0082")</f>
        <v>CDC-RFA-JG-25-0082</v>
      </c>
      <c r="B392" s="5" t="s">
        <v>1171</v>
      </c>
      <c r="C392" s="5" t="s">
        <v>756</v>
      </c>
      <c r="D392" s="5" t="s">
        <v>757</v>
      </c>
      <c r="E392" s="6">
        <v>45707</v>
      </c>
      <c r="F392" s="8">
        <v>0</v>
      </c>
      <c r="G392" s="8">
        <v>0</v>
      </c>
      <c r="H392" s="5">
        <v>3</v>
      </c>
      <c r="I392" s="5" t="s">
        <v>328</v>
      </c>
      <c r="J392" s="5" t="s">
        <v>1172</v>
      </c>
    </row>
    <row r="393" spans="1:10" ht="409.6" x14ac:dyDescent="0.3">
      <c r="A393" s="5" t="str">
        <f>HYPERLINK("https://grants.gov/search-results-detail/355468","CDC-RFA-JG-25-0088")</f>
        <v>CDC-RFA-JG-25-0088</v>
      </c>
      <c r="B393" s="5" t="s">
        <v>1173</v>
      </c>
      <c r="C393" s="5" t="s">
        <v>756</v>
      </c>
      <c r="D393" s="5" t="s">
        <v>757</v>
      </c>
      <c r="E393" s="6">
        <v>45707</v>
      </c>
      <c r="F393" s="8">
        <v>0</v>
      </c>
      <c r="G393" s="8">
        <v>0</v>
      </c>
      <c r="H393" s="5">
        <v>2</v>
      </c>
      <c r="I393" s="5" t="s">
        <v>336</v>
      </c>
      <c r="J393" s="5" t="s">
        <v>1174</v>
      </c>
    </row>
    <row r="394" spans="1:10" ht="316.8" x14ac:dyDescent="0.3">
      <c r="A394" s="5" t="str">
        <f>HYPERLINK("https://grants.gov/search-results-detail/355658","CDC-RFA-JG-25-0084")</f>
        <v>CDC-RFA-JG-25-0084</v>
      </c>
      <c r="B394" s="5" t="s">
        <v>1175</v>
      </c>
      <c r="C394" s="5" t="s">
        <v>756</v>
      </c>
      <c r="D394" s="5" t="s">
        <v>757</v>
      </c>
      <c r="E394" s="6">
        <v>45707</v>
      </c>
      <c r="F394" s="8">
        <v>0</v>
      </c>
      <c r="G394" s="8">
        <v>0</v>
      </c>
      <c r="H394" s="5">
        <v>3</v>
      </c>
      <c r="I394" s="5" t="s">
        <v>55</v>
      </c>
      <c r="J394" s="5" t="s">
        <v>1176</v>
      </c>
    </row>
    <row r="395" spans="1:10" ht="409.6" x14ac:dyDescent="0.3">
      <c r="A395" s="5" t="str">
        <f>HYPERLINK("https://grants.gov/search-results-detail/355662","CDC-RFA-JG-25-0083")</f>
        <v>CDC-RFA-JG-25-0083</v>
      </c>
      <c r="B395" s="5" t="s">
        <v>1177</v>
      </c>
      <c r="C395" s="5" t="s">
        <v>756</v>
      </c>
      <c r="D395" s="5" t="s">
        <v>757</v>
      </c>
      <c r="E395" s="6">
        <v>45707</v>
      </c>
      <c r="F395" s="8">
        <v>0</v>
      </c>
      <c r="G395" s="8">
        <v>0</v>
      </c>
      <c r="H395" s="5">
        <v>2</v>
      </c>
      <c r="I395" s="5" t="s">
        <v>328</v>
      </c>
      <c r="J395" s="5" t="s">
        <v>1178</v>
      </c>
    </row>
    <row r="396" spans="1:10" ht="409.6" x14ac:dyDescent="0.3">
      <c r="A396" s="5" t="str">
        <f>HYPERLINK("https://grants.gov/search-results-detail/355486","CDC-RFA-JG-25-0092")</f>
        <v>CDC-RFA-JG-25-0092</v>
      </c>
      <c r="B396" s="5" t="s">
        <v>1179</v>
      </c>
      <c r="C396" s="5" t="s">
        <v>756</v>
      </c>
      <c r="D396" s="5" t="s">
        <v>757</v>
      </c>
      <c r="E396" s="6">
        <v>45707</v>
      </c>
      <c r="F396" s="8">
        <v>0</v>
      </c>
      <c r="G396" s="8">
        <v>0</v>
      </c>
      <c r="H396" s="5">
        <v>3</v>
      </c>
      <c r="I396" s="5" t="s">
        <v>13</v>
      </c>
      <c r="J396" s="5" t="s">
        <v>1180</v>
      </c>
    </row>
    <row r="397" spans="1:10" ht="409.6" x14ac:dyDescent="0.3">
      <c r="A397" s="5" t="str">
        <f>HYPERLINK("https://grants.gov/search-results-detail/355467","CDC-RFA-JG-25-0078")</f>
        <v>CDC-RFA-JG-25-0078</v>
      </c>
      <c r="B397" s="5" t="s">
        <v>1109</v>
      </c>
      <c r="C397" s="5" t="s">
        <v>756</v>
      </c>
      <c r="D397" s="5" t="s">
        <v>757</v>
      </c>
      <c r="E397" s="6">
        <v>45708</v>
      </c>
      <c r="F397" s="8">
        <v>0</v>
      </c>
      <c r="G397" s="8">
        <v>0</v>
      </c>
      <c r="H397" s="5">
        <v>1</v>
      </c>
      <c r="I397" s="5" t="s">
        <v>1110</v>
      </c>
      <c r="J397" s="5" t="s">
        <v>1111</v>
      </c>
    </row>
    <row r="398" spans="1:10" ht="403.2" x14ac:dyDescent="0.3">
      <c r="A398" s="5" t="str">
        <f>HYPERLINK("https://grants.gov/search-results-detail/355652","CDC-RFA-JG-25-0057")</f>
        <v>CDC-RFA-JG-25-0057</v>
      </c>
      <c r="B398" s="5" t="s">
        <v>1119</v>
      </c>
      <c r="C398" s="5" t="s">
        <v>756</v>
      </c>
      <c r="D398" s="5" t="s">
        <v>757</v>
      </c>
      <c r="E398" s="6">
        <v>45708</v>
      </c>
      <c r="F398" s="8">
        <v>0</v>
      </c>
      <c r="G398" s="8">
        <v>0</v>
      </c>
      <c r="H398" s="5">
        <v>2</v>
      </c>
      <c r="I398" s="5" t="s">
        <v>1110</v>
      </c>
      <c r="J398" s="5" t="s">
        <v>1120</v>
      </c>
    </row>
    <row r="399" spans="1:10" ht="409.6" x14ac:dyDescent="0.3">
      <c r="A399" s="5" t="str">
        <f>HYPERLINK("https://grants.gov/search-results-detail/356408","CDC-RFA-JG-25-0164")</f>
        <v>CDC-RFA-JG-25-0164</v>
      </c>
      <c r="B399" s="5" t="s">
        <v>1121</v>
      </c>
      <c r="C399" s="5" t="s">
        <v>756</v>
      </c>
      <c r="D399" s="5" t="s">
        <v>757</v>
      </c>
      <c r="E399" s="6">
        <v>45708</v>
      </c>
      <c r="F399" s="8">
        <v>0</v>
      </c>
      <c r="G399" s="8">
        <v>0</v>
      </c>
      <c r="H399" s="5">
        <v>2</v>
      </c>
      <c r="I399" s="5" t="s">
        <v>631</v>
      </c>
      <c r="J399" s="5" t="s">
        <v>1122</v>
      </c>
    </row>
    <row r="400" spans="1:10" ht="409.6" x14ac:dyDescent="0.3">
      <c r="A400" s="5" t="str">
        <f>HYPERLINK("https://grants.gov/search-results-detail/355651","CDC-RFA-JG-25-0056")</f>
        <v>CDC-RFA-JG-25-0056</v>
      </c>
      <c r="B400" s="5" t="s">
        <v>1123</v>
      </c>
      <c r="C400" s="5" t="s">
        <v>756</v>
      </c>
      <c r="D400" s="5" t="s">
        <v>757</v>
      </c>
      <c r="E400" s="6">
        <v>45708</v>
      </c>
      <c r="F400" s="8">
        <v>0</v>
      </c>
      <c r="G400" s="8">
        <v>0</v>
      </c>
      <c r="H400" s="5">
        <v>2</v>
      </c>
      <c r="I400" s="5" t="s">
        <v>758</v>
      </c>
      <c r="J400" s="5" t="s">
        <v>1124</v>
      </c>
    </row>
    <row r="401" spans="1:10" ht="409.6" x14ac:dyDescent="0.3">
      <c r="A401" s="5" t="str">
        <f>HYPERLINK("https://grants.gov/search-results-detail/355488","CDC-RFA-JG-25-0093")</f>
        <v>CDC-RFA-JG-25-0093</v>
      </c>
      <c r="B401" s="5" t="s">
        <v>1134</v>
      </c>
      <c r="C401" s="5" t="s">
        <v>756</v>
      </c>
      <c r="D401" s="5" t="s">
        <v>757</v>
      </c>
      <c r="E401" s="6">
        <v>45708</v>
      </c>
      <c r="F401" s="8">
        <v>0</v>
      </c>
      <c r="G401" s="8">
        <v>0</v>
      </c>
      <c r="H401" s="5">
        <v>3</v>
      </c>
      <c r="I401" s="5" t="s">
        <v>328</v>
      </c>
      <c r="J401" s="5" t="s">
        <v>1135</v>
      </c>
    </row>
    <row r="402" spans="1:10" ht="409.6" x14ac:dyDescent="0.3">
      <c r="A402" s="5" t="str">
        <f>HYPERLINK("https://grants.gov/search-results-detail/355917","CDC-RFA-JG-25-0059")</f>
        <v>CDC-RFA-JG-25-0059</v>
      </c>
      <c r="B402" s="5" t="s">
        <v>1059</v>
      </c>
      <c r="C402" s="5" t="s">
        <v>756</v>
      </c>
      <c r="D402" s="5" t="s">
        <v>757</v>
      </c>
      <c r="E402" s="6">
        <v>45709</v>
      </c>
      <c r="F402" s="8">
        <v>0</v>
      </c>
      <c r="G402" s="8">
        <v>0</v>
      </c>
      <c r="H402" s="5">
        <v>2</v>
      </c>
      <c r="I402" s="5" t="s">
        <v>336</v>
      </c>
      <c r="J402" s="5" t="s">
        <v>1060</v>
      </c>
    </row>
    <row r="403" spans="1:10" ht="409.6" x14ac:dyDescent="0.3">
      <c r="A403" s="5" t="str">
        <f>HYPERLINK("https://grants.gov/search-results-detail/355447","CDC-RFA-JG-25-0050")</f>
        <v>CDC-RFA-JG-25-0050</v>
      </c>
      <c r="B403" s="5" t="s">
        <v>1061</v>
      </c>
      <c r="C403" s="5" t="s">
        <v>756</v>
      </c>
      <c r="D403" s="5" t="s">
        <v>757</v>
      </c>
      <c r="E403" s="6">
        <v>45709</v>
      </c>
      <c r="F403" s="8">
        <v>0</v>
      </c>
      <c r="G403" s="8">
        <v>0</v>
      </c>
      <c r="H403" s="5">
        <v>2</v>
      </c>
      <c r="I403" s="5" t="s">
        <v>1062</v>
      </c>
      <c r="J403" s="5" t="s">
        <v>1063</v>
      </c>
    </row>
    <row r="404" spans="1:10" ht="259.2" x14ac:dyDescent="0.3">
      <c r="A404" s="5" t="str">
        <f>HYPERLINK("https://grants.gov/search-results-detail/355451","CDC-RFA-JG-25-0069")</f>
        <v>CDC-RFA-JG-25-0069</v>
      </c>
      <c r="B404" s="5" t="s">
        <v>1066</v>
      </c>
      <c r="C404" s="5" t="s">
        <v>756</v>
      </c>
      <c r="D404" s="5" t="s">
        <v>757</v>
      </c>
      <c r="E404" s="6">
        <v>45709</v>
      </c>
      <c r="F404" s="8">
        <v>0</v>
      </c>
      <c r="G404" s="8">
        <v>0</v>
      </c>
      <c r="H404" s="5">
        <v>2</v>
      </c>
      <c r="I404" s="5" t="s">
        <v>13</v>
      </c>
      <c r="J404" s="5" t="s">
        <v>1067</v>
      </c>
    </row>
    <row r="405" spans="1:10" ht="409.6" x14ac:dyDescent="0.3">
      <c r="A405" s="5" t="str">
        <f>HYPERLINK("https://grants.gov/search-results-detail/355481","CDC-RFA-JG-25-0055")</f>
        <v>CDC-RFA-JG-25-0055</v>
      </c>
      <c r="B405" s="5" t="s">
        <v>1081</v>
      </c>
      <c r="C405" s="5" t="s">
        <v>756</v>
      </c>
      <c r="D405" s="5" t="s">
        <v>757</v>
      </c>
      <c r="E405" s="6">
        <v>45709</v>
      </c>
      <c r="F405" s="8">
        <v>0</v>
      </c>
      <c r="G405" s="8">
        <v>0</v>
      </c>
      <c r="H405" s="5">
        <v>5</v>
      </c>
      <c r="I405" s="5" t="s">
        <v>1025</v>
      </c>
      <c r="J405" s="5" t="s">
        <v>1082</v>
      </c>
    </row>
    <row r="406" spans="1:10" ht="409.6" x14ac:dyDescent="0.3">
      <c r="A406" s="5" t="str">
        <f>HYPERLINK("https://grants.gov/search-results-detail/355656","CDC-RFA-JG-25-0081")</f>
        <v>CDC-RFA-JG-25-0081</v>
      </c>
      <c r="B406" s="5" t="s">
        <v>1001</v>
      </c>
      <c r="C406" s="5" t="s">
        <v>756</v>
      </c>
      <c r="D406" s="5" t="s">
        <v>757</v>
      </c>
      <c r="E406" s="6">
        <v>45712</v>
      </c>
      <c r="F406" s="8">
        <v>0</v>
      </c>
      <c r="G406" s="8">
        <v>0</v>
      </c>
      <c r="H406" s="5">
        <v>2</v>
      </c>
      <c r="I406" s="5" t="s">
        <v>631</v>
      </c>
      <c r="J406" s="5" t="s">
        <v>1002</v>
      </c>
    </row>
    <row r="407" spans="1:10" ht="409.6" x14ac:dyDescent="0.3">
      <c r="A407" s="5" t="str">
        <f>HYPERLINK("https://grants.gov/search-results-detail/355448","CDC-RFA-JG-25-0067")</f>
        <v>CDC-RFA-JG-25-0067</v>
      </c>
      <c r="B407" s="5" t="s">
        <v>1017</v>
      </c>
      <c r="C407" s="5" t="s">
        <v>756</v>
      </c>
      <c r="D407" s="5" t="s">
        <v>757</v>
      </c>
      <c r="E407" s="6">
        <v>45712</v>
      </c>
      <c r="F407" s="8">
        <v>0</v>
      </c>
      <c r="G407" s="8">
        <v>0</v>
      </c>
      <c r="H407" s="5">
        <v>2</v>
      </c>
      <c r="I407" s="5" t="s">
        <v>328</v>
      </c>
      <c r="J407" s="5" t="s">
        <v>1018</v>
      </c>
    </row>
    <row r="408" spans="1:10" ht="331.2" x14ac:dyDescent="0.3">
      <c r="A408" s="5" t="str">
        <f>HYPERLINK("https://grants.gov/search-results-detail/355469","CDC-RFA-JG-25-0103")</f>
        <v>CDC-RFA-JG-25-0103</v>
      </c>
      <c r="B408" s="5" t="s">
        <v>1019</v>
      </c>
      <c r="C408" s="5" t="s">
        <v>756</v>
      </c>
      <c r="D408" s="5" t="s">
        <v>757</v>
      </c>
      <c r="E408" s="6">
        <v>45712</v>
      </c>
      <c r="F408" s="8">
        <v>0</v>
      </c>
      <c r="G408" s="8">
        <v>0</v>
      </c>
      <c r="H408" s="5">
        <v>2</v>
      </c>
      <c r="I408" s="5" t="s">
        <v>328</v>
      </c>
      <c r="J408" s="5" t="s">
        <v>1020</v>
      </c>
    </row>
    <row r="409" spans="1:10" ht="409.6" x14ac:dyDescent="0.3">
      <c r="A409" s="5" t="str">
        <f>HYPERLINK("https://grants.gov/search-results-detail/355653","CDC-RFA-JG-25-0060")</f>
        <v>CDC-RFA-JG-25-0060</v>
      </c>
      <c r="B409" s="5" t="s">
        <v>1027</v>
      </c>
      <c r="C409" s="5" t="s">
        <v>756</v>
      </c>
      <c r="D409" s="5" t="s">
        <v>757</v>
      </c>
      <c r="E409" s="6">
        <v>45712</v>
      </c>
      <c r="F409" s="8">
        <v>0</v>
      </c>
      <c r="G409" s="8">
        <v>0</v>
      </c>
      <c r="H409" s="5">
        <v>1</v>
      </c>
      <c r="I409" s="5" t="s">
        <v>1028</v>
      </c>
      <c r="J409" s="5" t="s">
        <v>1029</v>
      </c>
    </row>
    <row r="410" spans="1:10" ht="374.4" x14ac:dyDescent="0.3">
      <c r="A410" s="5" t="str">
        <f>HYPERLINK("https://grants.gov/search-results-detail/355655","CDC-RFA-JG-25-0062")</f>
        <v>CDC-RFA-JG-25-0062</v>
      </c>
      <c r="B410" s="5" t="s">
        <v>1064</v>
      </c>
      <c r="C410" s="5" t="s">
        <v>756</v>
      </c>
      <c r="D410" s="5" t="s">
        <v>757</v>
      </c>
      <c r="E410" s="6">
        <v>45712</v>
      </c>
      <c r="F410" s="8">
        <v>0</v>
      </c>
      <c r="G410" s="8">
        <v>0</v>
      </c>
      <c r="H410" s="5">
        <v>3</v>
      </c>
      <c r="I410" s="5" t="s">
        <v>445</v>
      </c>
      <c r="J410" s="5" t="s">
        <v>1065</v>
      </c>
    </row>
    <row r="411" spans="1:10" ht="409.6" x14ac:dyDescent="0.3">
      <c r="A411" s="5" t="str">
        <f>HYPERLINK("https://grants.gov/search-results-detail/355654","CDC-RFA-JG-25-0061")</f>
        <v>CDC-RFA-JG-25-0061</v>
      </c>
      <c r="B411" s="5" t="s">
        <v>987</v>
      </c>
      <c r="C411" s="5" t="s">
        <v>756</v>
      </c>
      <c r="D411" s="5" t="s">
        <v>757</v>
      </c>
      <c r="E411" s="6">
        <v>45713</v>
      </c>
      <c r="F411" s="8">
        <v>0</v>
      </c>
      <c r="G411" s="8">
        <v>0</v>
      </c>
      <c r="H411" s="5">
        <v>1</v>
      </c>
      <c r="I411" s="5" t="s">
        <v>304</v>
      </c>
      <c r="J411" s="5" t="s">
        <v>988</v>
      </c>
    </row>
    <row r="412" spans="1:10" ht="409.6" x14ac:dyDescent="0.3">
      <c r="A412" s="5" t="str">
        <f>HYPERLINK("https://grants.gov/search-results-detail/355660","CDC-RFA-JG-25-0095")</f>
        <v>CDC-RFA-JG-25-0095</v>
      </c>
      <c r="B412" s="5" t="s">
        <v>1024</v>
      </c>
      <c r="C412" s="5" t="s">
        <v>756</v>
      </c>
      <c r="D412" s="5" t="s">
        <v>757</v>
      </c>
      <c r="E412" s="6">
        <v>45713</v>
      </c>
      <c r="F412" s="8">
        <v>0</v>
      </c>
      <c r="G412" s="8">
        <v>0</v>
      </c>
      <c r="H412" s="5">
        <v>3</v>
      </c>
      <c r="I412" s="5" t="s">
        <v>1025</v>
      </c>
      <c r="J412" s="5" t="s">
        <v>1026</v>
      </c>
    </row>
    <row r="413" spans="1:10" ht="374.4" x14ac:dyDescent="0.3">
      <c r="A413" s="5" t="str">
        <f>HYPERLINK("https://grants.gov/search-results-detail/355471","CDC-RFA-JG-25-0102")</f>
        <v>CDC-RFA-JG-25-0102</v>
      </c>
      <c r="B413" s="5" t="s">
        <v>1030</v>
      </c>
      <c r="C413" s="5" t="s">
        <v>756</v>
      </c>
      <c r="D413" s="5" t="s">
        <v>757</v>
      </c>
      <c r="E413" s="6">
        <v>45713</v>
      </c>
      <c r="F413" s="8">
        <v>0</v>
      </c>
      <c r="G413" s="8">
        <v>0</v>
      </c>
      <c r="H413" s="5">
        <v>2</v>
      </c>
      <c r="I413" s="5" t="s">
        <v>336</v>
      </c>
      <c r="J413" s="5" t="s">
        <v>1031</v>
      </c>
    </row>
    <row r="414" spans="1:10" ht="409.6" x14ac:dyDescent="0.3">
      <c r="A414" s="5" t="str">
        <f>HYPERLINK("https://grants.gov/search-results-detail/355480","CDC-RFA-JG-25-0071")</f>
        <v>CDC-RFA-JG-25-0071</v>
      </c>
      <c r="B414" s="5" t="s">
        <v>755</v>
      </c>
      <c r="C414" s="5" t="s">
        <v>756</v>
      </c>
      <c r="D414" s="5" t="s">
        <v>757</v>
      </c>
      <c r="E414" s="6">
        <v>45721</v>
      </c>
      <c r="F414" s="8">
        <v>0</v>
      </c>
      <c r="G414" s="8">
        <v>0</v>
      </c>
      <c r="H414" s="5">
        <v>2</v>
      </c>
      <c r="I414" s="5" t="s">
        <v>758</v>
      </c>
      <c r="J414" s="5" t="s">
        <v>759</v>
      </c>
    </row>
    <row r="415" spans="1:10" ht="403.2" x14ac:dyDescent="0.3">
      <c r="A415" s="5" t="str">
        <f>HYPERLINK("https://grants.gov/search-results-detail/355483","CDC-RFA-JG-25-0073")</f>
        <v>CDC-RFA-JG-25-0073</v>
      </c>
      <c r="B415" s="5" t="s">
        <v>787</v>
      </c>
      <c r="C415" s="5" t="s">
        <v>756</v>
      </c>
      <c r="D415" s="5" t="s">
        <v>757</v>
      </c>
      <c r="E415" s="6">
        <v>45721</v>
      </c>
      <c r="F415" s="8">
        <v>0</v>
      </c>
      <c r="G415" s="8">
        <v>0</v>
      </c>
      <c r="H415" s="5">
        <v>2</v>
      </c>
      <c r="I415" s="5" t="s">
        <v>533</v>
      </c>
      <c r="J415" s="5" t="s">
        <v>788</v>
      </c>
    </row>
    <row r="416" spans="1:10" ht="409.6" x14ac:dyDescent="0.3">
      <c r="A416" s="5" t="str">
        <f>HYPERLINK("https://grants.gov/search-results-detail/355485","CDC-RFA-JG-25-0074")</f>
        <v>CDC-RFA-JG-25-0074</v>
      </c>
      <c r="B416" s="5" t="s">
        <v>792</v>
      </c>
      <c r="C416" s="5" t="s">
        <v>756</v>
      </c>
      <c r="D416" s="5" t="s">
        <v>757</v>
      </c>
      <c r="E416" s="6">
        <v>45721</v>
      </c>
      <c r="F416" s="8">
        <v>0</v>
      </c>
      <c r="G416" s="8">
        <v>0</v>
      </c>
      <c r="H416" s="5">
        <v>3</v>
      </c>
      <c r="I416" s="5" t="s">
        <v>304</v>
      </c>
      <c r="J416" s="5" t="s">
        <v>793</v>
      </c>
    </row>
    <row r="417" spans="1:10" ht="360" x14ac:dyDescent="0.3">
      <c r="A417" s="5" t="str">
        <f>HYPERLINK("https://grants.gov/search-results-detail/355482","CDC-RFA-JG-25-0072")</f>
        <v>CDC-RFA-JG-25-0072</v>
      </c>
      <c r="B417" s="5" t="s">
        <v>794</v>
      </c>
      <c r="C417" s="5" t="s">
        <v>756</v>
      </c>
      <c r="D417" s="5" t="s">
        <v>757</v>
      </c>
      <c r="E417" s="6">
        <v>45721</v>
      </c>
      <c r="F417" s="8">
        <v>0</v>
      </c>
      <c r="G417" s="8">
        <v>0</v>
      </c>
      <c r="H417" s="5">
        <v>2</v>
      </c>
      <c r="I417" s="5" t="s">
        <v>13</v>
      </c>
      <c r="J417" s="5" t="s">
        <v>795</v>
      </c>
    </row>
    <row r="418" spans="1:10" ht="230.4" x14ac:dyDescent="0.3">
      <c r="A418" s="5" t="str">
        <f>HYPERLINK("https://grants.gov/search-results-detail/355722","RFA-OH-25-003")</f>
        <v>RFA-OH-25-003</v>
      </c>
      <c r="B418" s="5" t="s">
        <v>1301</v>
      </c>
      <c r="C418" s="5" t="s">
        <v>700</v>
      </c>
      <c r="D418" s="5" t="s">
        <v>701</v>
      </c>
      <c r="E418" s="6">
        <v>45678</v>
      </c>
      <c r="F418" s="8">
        <v>550000</v>
      </c>
      <c r="G418" s="8">
        <v>50000</v>
      </c>
      <c r="H418" s="5">
        <v>29</v>
      </c>
      <c r="I418" s="5" t="s">
        <v>1302</v>
      </c>
      <c r="J418" s="5" t="s">
        <v>1303</v>
      </c>
    </row>
    <row r="419" spans="1:10" ht="409.6" x14ac:dyDescent="0.3">
      <c r="A419" s="5" t="str">
        <f>HYPERLINK("https://grants.gov/search-results-detail/355205","RFA-DP-25-038")</f>
        <v>RFA-DP-25-038</v>
      </c>
      <c r="B419" s="5" t="s">
        <v>1541</v>
      </c>
      <c r="C419" s="5" t="s">
        <v>700</v>
      </c>
      <c r="D419" s="5" t="s">
        <v>701</v>
      </c>
      <c r="E419" s="6">
        <v>45680</v>
      </c>
      <c r="F419" s="8">
        <v>500000</v>
      </c>
      <c r="G419" s="8">
        <v>0</v>
      </c>
      <c r="H419" s="5">
        <v>1</v>
      </c>
      <c r="I419" s="5" t="s">
        <v>1542</v>
      </c>
      <c r="J419" s="5" t="s">
        <v>1543</v>
      </c>
    </row>
    <row r="420" spans="1:10" ht="331.2" x14ac:dyDescent="0.3">
      <c r="A420" s="5" t="str">
        <f>HYPERLINK("https://grants.gov/search-results-detail/355902","RFA-IP-25-111")</f>
        <v>RFA-IP-25-111</v>
      </c>
      <c r="B420" s="5" t="s">
        <v>1106</v>
      </c>
      <c r="C420" s="5" t="s">
        <v>700</v>
      </c>
      <c r="D420" s="5" t="s">
        <v>701</v>
      </c>
      <c r="E420" s="6">
        <v>45694</v>
      </c>
      <c r="F420" s="8">
        <v>750000</v>
      </c>
      <c r="G420" s="8">
        <v>400000</v>
      </c>
      <c r="H420" s="5">
        <v>1</v>
      </c>
      <c r="I420" s="5" t="s">
        <v>1107</v>
      </c>
      <c r="J420" s="5" t="s">
        <v>1108</v>
      </c>
    </row>
    <row r="421" spans="1:10" ht="144" x14ac:dyDescent="0.3">
      <c r="A421" s="5" t="str">
        <f>HYPERLINK("https://grants.gov/search-results-detail/355905","RFA-CK-25-035")</f>
        <v>RFA-CK-25-035</v>
      </c>
      <c r="B421" s="5" t="s">
        <v>1291</v>
      </c>
      <c r="C421" s="5" t="s">
        <v>700</v>
      </c>
      <c r="D421" s="5" t="s">
        <v>701</v>
      </c>
      <c r="E421" s="6">
        <v>45700</v>
      </c>
      <c r="F421" s="8">
        <v>3000000</v>
      </c>
      <c r="G421" s="8">
        <v>1500000</v>
      </c>
      <c r="H421" s="5">
        <v>1</v>
      </c>
      <c r="I421" s="5" t="s">
        <v>1292</v>
      </c>
      <c r="J421" s="5" t="s">
        <v>1293</v>
      </c>
    </row>
    <row r="422" spans="1:10" ht="244.8" x14ac:dyDescent="0.3">
      <c r="A422" s="5" t="str">
        <f>HYPERLINK("https://grants.gov/search-results-detail/355903","RFA-PS-25-112")</f>
        <v>RFA-PS-25-112</v>
      </c>
      <c r="B422" s="5" t="s">
        <v>808</v>
      </c>
      <c r="C422" s="5" t="s">
        <v>700</v>
      </c>
      <c r="D422" s="5" t="s">
        <v>701</v>
      </c>
      <c r="E422" s="6">
        <v>45707</v>
      </c>
      <c r="F422" s="8">
        <v>1200000</v>
      </c>
      <c r="G422" s="8">
        <v>900000</v>
      </c>
      <c r="H422" s="5">
        <v>1</v>
      </c>
      <c r="I422" s="5" t="s">
        <v>809</v>
      </c>
      <c r="J422" s="5" t="s">
        <v>810</v>
      </c>
    </row>
    <row r="423" spans="1:10" ht="345.6" x14ac:dyDescent="0.3">
      <c r="A423" s="5" t="str">
        <f>HYPERLINK("https://grants.gov/search-results-detail/355904","RFA-PS-25-113")</f>
        <v>RFA-PS-25-113</v>
      </c>
      <c r="B423" s="5" t="s">
        <v>796</v>
      </c>
      <c r="C423" s="5" t="s">
        <v>700</v>
      </c>
      <c r="D423" s="5" t="s">
        <v>701</v>
      </c>
      <c r="E423" s="6">
        <v>45708</v>
      </c>
      <c r="F423" s="8">
        <v>475000</v>
      </c>
      <c r="G423" s="8">
        <v>350000</v>
      </c>
      <c r="H423" s="5">
        <v>2</v>
      </c>
      <c r="I423" s="5" t="s">
        <v>797</v>
      </c>
      <c r="J423" s="5" t="s">
        <v>798</v>
      </c>
    </row>
    <row r="424" spans="1:10" ht="409.6" x14ac:dyDescent="0.3">
      <c r="A424" s="5" t="str">
        <f>HYPERLINK("https://grants.gov/search-results-detail/357053","RFA-OH-25-183")</f>
        <v>RFA-OH-25-183</v>
      </c>
      <c r="B424" s="5" t="s">
        <v>752</v>
      </c>
      <c r="C424" s="5" t="s">
        <v>700</v>
      </c>
      <c r="D424" s="5" t="s">
        <v>701</v>
      </c>
      <c r="E424" s="6">
        <v>45712</v>
      </c>
      <c r="F424" s="8">
        <v>3000000</v>
      </c>
      <c r="G424" s="8">
        <v>1000000</v>
      </c>
      <c r="H424" s="5">
        <v>1</v>
      </c>
      <c r="I424" s="5" t="s">
        <v>753</v>
      </c>
      <c r="J424" s="5" t="s">
        <v>754</v>
      </c>
    </row>
    <row r="425" spans="1:10" ht="360" x14ac:dyDescent="0.3">
      <c r="A425" s="5" t="str">
        <f>HYPERLINK("https://grants.gov/search-results-detail/357922","RFA-CK-25-182")</f>
        <v>RFA-CK-25-182</v>
      </c>
      <c r="B425" s="5" t="s">
        <v>699</v>
      </c>
      <c r="C425" s="5" t="s">
        <v>700</v>
      </c>
      <c r="D425" s="5" t="s">
        <v>701</v>
      </c>
      <c r="E425" s="6">
        <v>45716</v>
      </c>
      <c r="F425" s="8">
        <v>5000000</v>
      </c>
      <c r="G425" s="8">
        <v>500000</v>
      </c>
      <c r="H425" s="5">
        <v>1</v>
      </c>
      <c r="I425" s="5" t="s">
        <v>702</v>
      </c>
      <c r="J425" s="5" t="s">
        <v>703</v>
      </c>
    </row>
    <row r="426" spans="1:10" ht="409.6" x14ac:dyDescent="0.3">
      <c r="A426" s="5" t="str">
        <f>HYPERLINK("https://grants.gov/search-results-detail/356534","RFA-DP-25-126")</f>
        <v>RFA-DP-25-126</v>
      </c>
      <c r="B426" s="5" t="s">
        <v>857</v>
      </c>
      <c r="C426" s="5" t="s">
        <v>700</v>
      </c>
      <c r="D426" s="5" t="s">
        <v>701</v>
      </c>
      <c r="E426" s="6">
        <v>45716</v>
      </c>
      <c r="F426" s="8">
        <v>5902000</v>
      </c>
      <c r="G426" s="8">
        <v>0</v>
      </c>
      <c r="H426" s="5">
        <v>12</v>
      </c>
      <c r="I426" s="5" t="s">
        <v>858</v>
      </c>
      <c r="J426" s="5" t="s">
        <v>859</v>
      </c>
    </row>
    <row r="427" spans="1:10" ht="201.6" x14ac:dyDescent="0.3">
      <c r="A427" s="5" t="str">
        <f>HYPERLINK("https://grants.gov/search-results-detail/356175","RFA-JG-25-137")</f>
        <v>RFA-JG-25-137</v>
      </c>
      <c r="B427" s="5" t="s">
        <v>1298</v>
      </c>
      <c r="C427" s="5" t="s">
        <v>700</v>
      </c>
      <c r="D427" s="5" t="s">
        <v>701</v>
      </c>
      <c r="E427" s="6">
        <v>45719</v>
      </c>
      <c r="F427" s="8">
        <v>2000000</v>
      </c>
      <c r="G427" s="8">
        <v>0</v>
      </c>
      <c r="H427" s="5">
        <v>2</v>
      </c>
      <c r="I427" s="5" t="s">
        <v>1299</v>
      </c>
      <c r="J427" s="5" t="s">
        <v>1300</v>
      </c>
    </row>
    <row r="428" spans="1:10" ht="409.6" x14ac:dyDescent="0.3">
      <c r="A428" s="5" t="str">
        <f>HYPERLINK("https://grants.gov/search-results-detail/355215","CDC-RFA-DD-25-0157")</f>
        <v>CDC-RFA-DD-25-0157</v>
      </c>
      <c r="B428" s="5" t="s">
        <v>1092</v>
      </c>
      <c r="C428" s="5" t="s">
        <v>1093</v>
      </c>
      <c r="D428" s="5" t="s">
        <v>1094</v>
      </c>
      <c r="E428" s="6">
        <v>45722</v>
      </c>
      <c r="F428" s="8">
        <v>290000</v>
      </c>
      <c r="G428" s="8">
        <v>200000</v>
      </c>
      <c r="H428" s="5">
        <v>39</v>
      </c>
      <c r="I428" s="5" t="s">
        <v>1095</v>
      </c>
      <c r="J428" s="5" t="s">
        <v>1096</v>
      </c>
    </row>
    <row r="429" spans="1:10" ht="409.6" x14ac:dyDescent="0.3">
      <c r="A429" s="5" t="str">
        <f>HYPERLINK("https://grants.gov/search-results-detail/355583","CDC-RFA-DP-25-0024")</f>
        <v>CDC-RFA-DP-25-0024</v>
      </c>
      <c r="B429" s="5" t="s">
        <v>1459</v>
      </c>
      <c r="C429" s="5" t="s">
        <v>745</v>
      </c>
      <c r="D429" s="5" t="s">
        <v>746</v>
      </c>
      <c r="E429" s="6">
        <v>45672</v>
      </c>
      <c r="F429" s="8">
        <v>1400000</v>
      </c>
      <c r="G429" s="8">
        <v>230000</v>
      </c>
      <c r="H429" s="5">
        <v>8</v>
      </c>
      <c r="I429" s="5" t="s">
        <v>1460</v>
      </c>
      <c r="J429" s="5" t="s">
        <v>1461</v>
      </c>
    </row>
    <row r="430" spans="1:10" ht="409.6" x14ac:dyDescent="0.3">
      <c r="A430" s="5" t="str">
        <f>HYPERLINK("https://grants.gov/search-results-detail/355997","CDC-RFA-DP-25-0012")</f>
        <v>CDC-RFA-DP-25-0012</v>
      </c>
      <c r="B430" s="5" t="s">
        <v>744</v>
      </c>
      <c r="C430" s="5" t="s">
        <v>745</v>
      </c>
      <c r="D430" s="5" t="s">
        <v>746</v>
      </c>
      <c r="E430" s="6">
        <v>45708</v>
      </c>
      <c r="F430" s="8">
        <v>900000</v>
      </c>
      <c r="G430" s="8">
        <v>350000</v>
      </c>
      <c r="H430" s="5">
        <v>38</v>
      </c>
      <c r="I430" s="5" t="s">
        <v>631</v>
      </c>
      <c r="J430" s="5" t="s">
        <v>747</v>
      </c>
    </row>
    <row r="431" spans="1:10" ht="409.6" x14ac:dyDescent="0.3">
      <c r="A431" s="5" t="str">
        <f>HYPERLINK("https://grants.gov/search-results-detail/355911","CDC-RFA-IP-25-0007")</f>
        <v>CDC-RFA-IP-25-0007</v>
      </c>
      <c r="B431" s="5" t="s">
        <v>620</v>
      </c>
      <c r="C431" s="5" t="s">
        <v>621</v>
      </c>
      <c r="D431" s="5" t="s">
        <v>622</v>
      </c>
      <c r="E431" s="6">
        <v>45729</v>
      </c>
      <c r="F431" s="8">
        <v>0</v>
      </c>
      <c r="G431" s="8">
        <v>0</v>
      </c>
      <c r="H431" s="5">
        <v>66</v>
      </c>
      <c r="I431" s="5" t="s">
        <v>623</v>
      </c>
      <c r="J431" s="5" t="s">
        <v>624</v>
      </c>
    </row>
    <row r="432" spans="1:10" ht="144" x14ac:dyDescent="0.3">
      <c r="A432" s="5" t="str">
        <f>HYPERLINK("https://grants.gov/search-results-detail/354875","CMS-2P2-25-001")</f>
        <v>CMS-2P2-25-001</v>
      </c>
      <c r="B432" s="5" t="s">
        <v>1949</v>
      </c>
      <c r="C432" s="5" t="s">
        <v>529</v>
      </c>
      <c r="D432" s="5" t="s">
        <v>530</v>
      </c>
      <c r="E432" s="6">
        <v>45716</v>
      </c>
      <c r="F432" s="8">
        <v>9550000</v>
      </c>
      <c r="G432" s="8">
        <v>0</v>
      </c>
      <c r="H432" s="5">
        <v>52</v>
      </c>
      <c r="I432" s="5" t="s">
        <v>1950</v>
      </c>
      <c r="J432" s="5" t="s">
        <v>1951</v>
      </c>
    </row>
    <row r="433" spans="1:10" ht="316.8" x14ac:dyDescent="0.3">
      <c r="A433" s="5" t="str">
        <f>HYPERLINK("https://grants.gov/search-results-detail/357885","CMS-2V2-25-001")</f>
        <v>CMS-2V2-25-001</v>
      </c>
      <c r="B433" s="5" t="s">
        <v>528</v>
      </c>
      <c r="C433" s="5" t="s">
        <v>529</v>
      </c>
      <c r="D433" s="5" t="s">
        <v>530</v>
      </c>
      <c r="E433" s="6">
        <v>45723</v>
      </c>
      <c r="F433" s="8">
        <v>20000000</v>
      </c>
      <c r="G433" s="8">
        <v>5000000</v>
      </c>
      <c r="H433" s="5">
        <v>10</v>
      </c>
      <c r="I433" s="5" t="s">
        <v>328</v>
      </c>
      <c r="J433" s="5" t="s">
        <v>531</v>
      </c>
    </row>
    <row r="434" spans="1:10" ht="158.4" x14ac:dyDescent="0.3">
      <c r="A434" s="5" t="str">
        <f>HYPERLINK("https://grants.gov/search-results-detail/355771","HRSA-25-067")</f>
        <v>HRSA-25-067</v>
      </c>
      <c r="B434" s="5" t="s">
        <v>1698</v>
      </c>
      <c r="C434" s="5" t="s">
        <v>448</v>
      </c>
      <c r="D434" s="5" t="s">
        <v>449</v>
      </c>
      <c r="E434" s="6">
        <v>45678</v>
      </c>
      <c r="F434" s="8">
        <v>0</v>
      </c>
      <c r="G434" s="8">
        <v>0</v>
      </c>
      <c r="H434" s="5">
        <v>50</v>
      </c>
      <c r="I434" s="5" t="s">
        <v>1699</v>
      </c>
      <c r="J434" s="5" t="s">
        <v>1700</v>
      </c>
    </row>
    <row r="435" spans="1:10" ht="409.6" x14ac:dyDescent="0.3">
      <c r="A435" s="5" t="str">
        <f>HYPERLINK("https://grants.gov/search-results-detail/355772","HRSA-25-068")</f>
        <v>HRSA-25-068</v>
      </c>
      <c r="B435" s="5" t="s">
        <v>1701</v>
      </c>
      <c r="C435" s="5" t="s">
        <v>448</v>
      </c>
      <c r="D435" s="5" t="s">
        <v>449</v>
      </c>
      <c r="E435" s="6">
        <v>45678</v>
      </c>
      <c r="F435" s="8">
        <v>600000</v>
      </c>
      <c r="G435" s="8">
        <v>0</v>
      </c>
      <c r="H435" s="5">
        <v>101</v>
      </c>
      <c r="I435" s="5" t="s">
        <v>1702</v>
      </c>
      <c r="J435" s="5" t="s">
        <v>1703</v>
      </c>
    </row>
    <row r="436" spans="1:10" ht="187.2" x14ac:dyDescent="0.3">
      <c r="A436" s="5" t="str">
        <f>HYPERLINK("https://grants.gov/search-results-detail/355635","HRSA-25-025")</f>
        <v>HRSA-25-025</v>
      </c>
      <c r="B436" s="5" t="s">
        <v>1655</v>
      </c>
      <c r="C436" s="5" t="s">
        <v>448</v>
      </c>
      <c r="D436" s="5" t="s">
        <v>449</v>
      </c>
      <c r="E436" s="6">
        <v>45680</v>
      </c>
      <c r="F436" s="8">
        <v>135000</v>
      </c>
      <c r="G436" s="8">
        <v>0</v>
      </c>
      <c r="H436" s="5">
        <v>10</v>
      </c>
      <c r="I436" s="5" t="s">
        <v>1656</v>
      </c>
      <c r="J436" s="5" t="s">
        <v>1657</v>
      </c>
    </row>
    <row r="437" spans="1:10" ht="374.4" x14ac:dyDescent="0.3">
      <c r="A437" s="5" t="str">
        <f>HYPERLINK("https://grants.gov/search-results-detail/355368","HRSA-25-038")</f>
        <v>HRSA-25-038</v>
      </c>
      <c r="B437" s="5" t="s">
        <v>1089</v>
      </c>
      <c r="C437" s="5" t="s">
        <v>448</v>
      </c>
      <c r="D437" s="5" t="s">
        <v>449</v>
      </c>
      <c r="E437" s="6">
        <v>45684</v>
      </c>
      <c r="F437" s="8">
        <v>0</v>
      </c>
      <c r="G437" s="8">
        <v>0</v>
      </c>
      <c r="H437" s="5">
        <v>50</v>
      </c>
      <c r="I437" s="5" t="s">
        <v>1090</v>
      </c>
      <c r="J437" s="5" t="s">
        <v>1091</v>
      </c>
    </row>
    <row r="438" spans="1:10" ht="172.8" x14ac:dyDescent="0.3">
      <c r="A438" s="5" t="str">
        <f>HYPERLINK("https://grants.gov/search-results-detail/355638","HRSA-25-027")</f>
        <v>HRSA-25-027</v>
      </c>
      <c r="B438" s="5" t="s">
        <v>1603</v>
      </c>
      <c r="C438" s="5" t="s">
        <v>448</v>
      </c>
      <c r="D438" s="5" t="s">
        <v>449</v>
      </c>
      <c r="E438" s="6">
        <v>45684</v>
      </c>
      <c r="F438" s="8">
        <v>366769</v>
      </c>
      <c r="G438" s="8">
        <v>0</v>
      </c>
      <c r="H438" s="5">
        <v>13</v>
      </c>
      <c r="I438" s="5" t="s">
        <v>1604</v>
      </c>
      <c r="J438" s="5" t="s">
        <v>1605</v>
      </c>
    </row>
    <row r="439" spans="1:10" ht="144" x14ac:dyDescent="0.3">
      <c r="A439" s="5" t="str">
        <f>HYPERLINK("https://grants.gov/search-results-detail/355366","HRSA-25-036")</f>
        <v>HRSA-25-036</v>
      </c>
      <c r="B439" s="5" t="s">
        <v>1139</v>
      </c>
      <c r="C439" s="5" t="s">
        <v>448</v>
      </c>
      <c r="D439" s="5" t="s">
        <v>449</v>
      </c>
      <c r="E439" s="6">
        <v>45693</v>
      </c>
      <c r="F439" s="8">
        <v>0</v>
      </c>
      <c r="G439" s="8">
        <v>0</v>
      </c>
      <c r="H439" s="5">
        <v>3</v>
      </c>
      <c r="I439" s="5" t="s">
        <v>1140</v>
      </c>
      <c r="J439" s="5" t="s">
        <v>1141</v>
      </c>
    </row>
    <row r="440" spans="1:10" ht="409.6" x14ac:dyDescent="0.3">
      <c r="A440" s="5" t="str">
        <f>HYPERLINK("https://grants.gov/search-results-detail/354790","HRSA-25-061")</f>
        <v>HRSA-25-061</v>
      </c>
      <c r="B440" s="5" t="s">
        <v>948</v>
      </c>
      <c r="C440" s="5" t="s">
        <v>448</v>
      </c>
      <c r="D440" s="5" t="s">
        <v>449</v>
      </c>
      <c r="E440" s="6">
        <v>45698</v>
      </c>
      <c r="F440" s="8">
        <v>0</v>
      </c>
      <c r="G440" s="8">
        <v>0</v>
      </c>
      <c r="H440" s="5">
        <v>1</v>
      </c>
      <c r="I440" s="5" t="s">
        <v>949</v>
      </c>
      <c r="J440" s="5" t="s">
        <v>950</v>
      </c>
    </row>
    <row r="441" spans="1:10" ht="259.2" x14ac:dyDescent="0.3">
      <c r="A441" s="5" t="str">
        <f>HYPERLINK("https://grants.gov/search-results-detail/354780","HRSA-25-050")</f>
        <v>HRSA-25-050</v>
      </c>
      <c r="B441" s="5" t="s">
        <v>951</v>
      </c>
      <c r="C441" s="5" t="s">
        <v>448</v>
      </c>
      <c r="D441" s="5" t="s">
        <v>449</v>
      </c>
      <c r="E441" s="6">
        <v>45698</v>
      </c>
      <c r="F441" s="8">
        <v>0</v>
      </c>
      <c r="G441" s="8">
        <v>0</v>
      </c>
      <c r="H441" s="5">
        <v>25</v>
      </c>
      <c r="I441" s="5" t="s">
        <v>952</v>
      </c>
      <c r="J441" s="5" t="s">
        <v>953</v>
      </c>
    </row>
    <row r="442" spans="1:10" ht="360" x14ac:dyDescent="0.3">
      <c r="A442" s="5" t="str">
        <f>HYPERLINK("https://grants.gov/search-results-detail/355370","HRSA-25-040")</f>
        <v>HRSA-25-040</v>
      </c>
      <c r="B442" s="5" t="s">
        <v>863</v>
      </c>
      <c r="C442" s="5" t="s">
        <v>448</v>
      </c>
      <c r="D442" s="5" t="s">
        <v>449</v>
      </c>
      <c r="E442" s="6">
        <v>45699</v>
      </c>
      <c r="F442" s="8">
        <v>0</v>
      </c>
      <c r="G442" s="8">
        <v>0</v>
      </c>
      <c r="H442" s="5">
        <v>15</v>
      </c>
      <c r="I442" s="5" t="s">
        <v>864</v>
      </c>
      <c r="J442" s="5" t="s">
        <v>865</v>
      </c>
    </row>
    <row r="443" spans="1:10" ht="409.6" x14ac:dyDescent="0.3">
      <c r="A443" s="5" t="str">
        <f>HYPERLINK("https://grants.gov/search-results-detail/355369","HRSA-25-039")</f>
        <v>HRSA-25-039</v>
      </c>
      <c r="B443" s="5" t="s">
        <v>866</v>
      </c>
      <c r="C443" s="5" t="s">
        <v>448</v>
      </c>
      <c r="D443" s="5" t="s">
        <v>449</v>
      </c>
      <c r="E443" s="6">
        <v>45699</v>
      </c>
      <c r="F443" s="8">
        <v>135000</v>
      </c>
      <c r="G443" s="8">
        <v>0</v>
      </c>
      <c r="H443" s="5">
        <v>1</v>
      </c>
      <c r="I443" s="5" t="s">
        <v>867</v>
      </c>
      <c r="J443" s="5" t="s">
        <v>868</v>
      </c>
    </row>
    <row r="444" spans="1:10" ht="409.6" x14ac:dyDescent="0.3">
      <c r="A444" s="5" t="str">
        <f>HYPERLINK("https://grants.gov/search-results-detail/354777","HRSA-25-047")</f>
        <v>HRSA-25-047</v>
      </c>
      <c r="B444" s="5" t="s">
        <v>1032</v>
      </c>
      <c r="C444" s="5" t="s">
        <v>448</v>
      </c>
      <c r="D444" s="5" t="s">
        <v>449</v>
      </c>
      <c r="E444" s="6">
        <v>45699</v>
      </c>
      <c r="F444" s="8">
        <v>0</v>
      </c>
      <c r="G444" s="8">
        <v>0</v>
      </c>
      <c r="H444" s="5">
        <v>1</v>
      </c>
      <c r="I444" s="5" t="s">
        <v>1033</v>
      </c>
      <c r="J444" s="5" t="s">
        <v>1034</v>
      </c>
    </row>
    <row r="445" spans="1:10" ht="259.2" x14ac:dyDescent="0.3">
      <c r="A445" s="5" t="str">
        <f>HYPERLINK("https://grants.gov/search-results-detail/354783","HRSA-25-053")</f>
        <v>HRSA-25-053</v>
      </c>
      <c r="B445" s="5" t="s">
        <v>924</v>
      </c>
      <c r="C445" s="5" t="s">
        <v>448</v>
      </c>
      <c r="D445" s="5" t="s">
        <v>449</v>
      </c>
      <c r="E445" s="6">
        <v>45706</v>
      </c>
      <c r="F445" s="8">
        <v>0</v>
      </c>
      <c r="G445" s="8">
        <v>0</v>
      </c>
      <c r="H445" s="5">
        <v>1</v>
      </c>
      <c r="I445" s="5" t="s">
        <v>925</v>
      </c>
      <c r="J445" s="5" t="s">
        <v>926</v>
      </c>
    </row>
    <row r="446" spans="1:10" ht="302.39999999999998" x14ac:dyDescent="0.3">
      <c r="A446" s="5" t="str">
        <f>HYPERLINK("https://grants.gov/search-results-detail/355637","HRSA-25-026")</f>
        <v>HRSA-25-026</v>
      </c>
      <c r="B446" s="5" t="s">
        <v>1383</v>
      </c>
      <c r="C446" s="5" t="s">
        <v>448</v>
      </c>
      <c r="D446" s="5" t="s">
        <v>449</v>
      </c>
      <c r="E446" s="6">
        <v>45706</v>
      </c>
      <c r="F446" s="8">
        <v>340000</v>
      </c>
      <c r="G446" s="8">
        <v>0</v>
      </c>
      <c r="H446" s="5">
        <v>6</v>
      </c>
      <c r="I446" s="5" t="s">
        <v>1384</v>
      </c>
      <c r="J446" s="5" t="s">
        <v>1385</v>
      </c>
    </row>
    <row r="447" spans="1:10" ht="409.6" x14ac:dyDescent="0.3">
      <c r="A447" s="5" t="str">
        <f>HYPERLINK("https://grants.gov/search-results-detail/355367","HRSA-25-037")</f>
        <v>HRSA-25-037</v>
      </c>
      <c r="B447" s="5" t="s">
        <v>748</v>
      </c>
      <c r="C447" s="5" t="s">
        <v>448</v>
      </c>
      <c r="D447" s="5" t="s">
        <v>449</v>
      </c>
      <c r="E447" s="6">
        <v>45707</v>
      </c>
      <c r="F447" s="8">
        <v>100000</v>
      </c>
      <c r="G447" s="8">
        <v>0</v>
      </c>
      <c r="H447" s="5">
        <v>35</v>
      </c>
      <c r="I447" s="5" t="s">
        <v>749</v>
      </c>
      <c r="J447" s="5" t="s">
        <v>750</v>
      </c>
    </row>
    <row r="448" spans="1:10" ht="409.6" x14ac:dyDescent="0.3">
      <c r="A448" s="5" t="str">
        <f>HYPERLINK("https://grants.gov/search-results-detail/355780","HRSA-25-076")</f>
        <v>HRSA-25-076</v>
      </c>
      <c r="B448" s="5" t="s">
        <v>1378</v>
      </c>
      <c r="C448" s="5" t="s">
        <v>448</v>
      </c>
      <c r="D448" s="5" t="s">
        <v>449</v>
      </c>
      <c r="E448" s="6">
        <v>45707</v>
      </c>
      <c r="F448" s="8">
        <v>0</v>
      </c>
      <c r="G448" s="8">
        <v>0</v>
      </c>
      <c r="H448" s="5">
        <v>85</v>
      </c>
      <c r="I448" s="5" t="s">
        <v>1379</v>
      </c>
      <c r="J448" s="5" t="s">
        <v>1380</v>
      </c>
    </row>
    <row r="449" spans="1:10" ht="409.6" x14ac:dyDescent="0.3">
      <c r="A449" s="5" t="str">
        <f>HYPERLINK("https://grants.gov/search-results-detail/355774","HRSA-25-070")</f>
        <v>HRSA-25-070</v>
      </c>
      <c r="B449" s="5" t="s">
        <v>1272</v>
      </c>
      <c r="C449" s="5" t="s">
        <v>448</v>
      </c>
      <c r="D449" s="5" t="s">
        <v>449</v>
      </c>
      <c r="E449" s="6">
        <v>45712</v>
      </c>
      <c r="F449" s="8">
        <v>0</v>
      </c>
      <c r="G449" s="8">
        <v>0</v>
      </c>
      <c r="H449" s="5">
        <v>80</v>
      </c>
      <c r="I449" s="5" t="s">
        <v>1273</v>
      </c>
      <c r="J449" s="5" t="s">
        <v>1274</v>
      </c>
    </row>
    <row r="450" spans="1:10" ht="100.8" x14ac:dyDescent="0.3">
      <c r="A450" s="5" t="str">
        <f>HYPERLINK("https://grants.gov/search-results-detail/355634","HRSA-25-024")</f>
        <v>HRSA-25-024</v>
      </c>
      <c r="B450" s="5" t="s">
        <v>1275</v>
      </c>
      <c r="C450" s="5" t="s">
        <v>448</v>
      </c>
      <c r="D450" s="5" t="s">
        <v>449</v>
      </c>
      <c r="E450" s="6">
        <v>45713</v>
      </c>
      <c r="F450" s="8">
        <v>0</v>
      </c>
      <c r="G450" s="8">
        <v>0</v>
      </c>
      <c r="H450" s="5">
        <v>8</v>
      </c>
      <c r="I450" s="5" t="s">
        <v>1276</v>
      </c>
      <c r="J450" s="5" t="s">
        <v>1277</v>
      </c>
    </row>
    <row r="451" spans="1:10" ht="115.2" x14ac:dyDescent="0.3">
      <c r="A451" s="5" t="str">
        <f>HYPERLINK("https://grants.gov/search-results-detail/355633","HRSA-25-023")</f>
        <v>HRSA-25-023</v>
      </c>
      <c r="B451" s="5" t="s">
        <v>1278</v>
      </c>
      <c r="C451" s="5" t="s">
        <v>448</v>
      </c>
      <c r="D451" s="5" t="s">
        <v>449</v>
      </c>
      <c r="E451" s="6">
        <v>45713</v>
      </c>
      <c r="F451" s="8">
        <v>60000</v>
      </c>
      <c r="G451" s="8">
        <v>0</v>
      </c>
      <c r="H451" s="5">
        <v>10</v>
      </c>
      <c r="I451" s="5" t="s">
        <v>1279</v>
      </c>
      <c r="J451" s="5" t="s">
        <v>1280</v>
      </c>
    </row>
    <row r="452" spans="1:10" ht="374.4" x14ac:dyDescent="0.3">
      <c r="A452" s="5" t="str">
        <f>HYPERLINK("https://grants.gov/search-results-detail/355773","HRSA-25-069")</f>
        <v>HRSA-25-069</v>
      </c>
      <c r="B452" s="5" t="s">
        <v>718</v>
      </c>
      <c r="C452" s="5" t="s">
        <v>448</v>
      </c>
      <c r="D452" s="5" t="s">
        <v>449</v>
      </c>
      <c r="E452" s="6">
        <v>45716</v>
      </c>
      <c r="F452" s="8">
        <v>0</v>
      </c>
      <c r="G452" s="8">
        <v>0</v>
      </c>
      <c r="H452" s="5">
        <v>28</v>
      </c>
      <c r="I452" s="5" t="s">
        <v>719</v>
      </c>
      <c r="J452" s="5" t="s">
        <v>720</v>
      </c>
    </row>
    <row r="453" spans="1:10" ht="288" x14ac:dyDescent="0.3">
      <c r="A453" s="5" t="str">
        <f>HYPERLINK("https://grants.gov/search-results-detail/355782","HRSA-25-080")</f>
        <v>HRSA-25-080</v>
      </c>
      <c r="B453" s="5" t="s">
        <v>1195</v>
      </c>
      <c r="C453" s="5" t="s">
        <v>448</v>
      </c>
      <c r="D453" s="5" t="s">
        <v>449</v>
      </c>
      <c r="E453" s="6">
        <v>45719</v>
      </c>
      <c r="F453" s="8">
        <v>0</v>
      </c>
      <c r="G453" s="8">
        <v>0</v>
      </c>
      <c r="H453" s="5">
        <v>1</v>
      </c>
      <c r="I453" s="5" t="s">
        <v>1196</v>
      </c>
      <c r="J453" s="5" t="s">
        <v>1197</v>
      </c>
    </row>
    <row r="454" spans="1:10" ht="230.4" x14ac:dyDescent="0.3">
      <c r="A454" s="5" t="str">
        <f>HYPERLINK("https://grants.gov/search-results-detail/355360","HRSA-25-010")</f>
        <v>HRSA-25-010</v>
      </c>
      <c r="B454" s="5" t="s">
        <v>715</v>
      </c>
      <c r="C454" s="5" t="s">
        <v>448</v>
      </c>
      <c r="D454" s="5" t="s">
        <v>449</v>
      </c>
      <c r="E454" s="6">
        <v>45726</v>
      </c>
      <c r="F454" s="8">
        <v>300000</v>
      </c>
      <c r="G454" s="8">
        <v>0</v>
      </c>
      <c r="H454" s="5">
        <v>20</v>
      </c>
      <c r="I454" s="5" t="s">
        <v>716</v>
      </c>
      <c r="J454" s="5" t="s">
        <v>717</v>
      </c>
    </row>
    <row r="455" spans="1:10" ht="409.6" x14ac:dyDescent="0.3">
      <c r="A455" s="5" t="str">
        <f>HYPERLINK("https://grants.gov/search-results-detail/354785","HRSA-25-056")</f>
        <v>HRSA-25-056</v>
      </c>
      <c r="B455" s="5" t="s">
        <v>512</v>
      </c>
      <c r="C455" s="5" t="s">
        <v>448</v>
      </c>
      <c r="D455" s="5" t="s">
        <v>449</v>
      </c>
      <c r="E455" s="6">
        <v>45727</v>
      </c>
      <c r="F455" s="8">
        <v>0</v>
      </c>
      <c r="G455" s="8">
        <v>0</v>
      </c>
      <c r="H455" s="5">
        <v>10</v>
      </c>
      <c r="I455" s="5" t="s">
        <v>513</v>
      </c>
      <c r="J455" s="5" t="s">
        <v>514</v>
      </c>
    </row>
    <row r="456" spans="1:10" ht="409.6" x14ac:dyDescent="0.3">
      <c r="A456" s="5" t="str">
        <f>HYPERLINK("https://grants.gov/search-results-detail/354786","HRSA-25-057")</f>
        <v>HRSA-25-057</v>
      </c>
      <c r="B456" s="5" t="s">
        <v>523</v>
      </c>
      <c r="C456" s="5" t="s">
        <v>448</v>
      </c>
      <c r="D456" s="5" t="s">
        <v>449</v>
      </c>
      <c r="E456" s="6">
        <v>45727</v>
      </c>
      <c r="F456" s="8">
        <v>0</v>
      </c>
      <c r="G456" s="8">
        <v>0</v>
      </c>
      <c r="H456" s="5">
        <v>1</v>
      </c>
      <c r="I456" s="5" t="s">
        <v>524</v>
      </c>
      <c r="J456" s="5" t="s">
        <v>525</v>
      </c>
    </row>
    <row r="457" spans="1:10" ht="409.6" x14ac:dyDescent="0.3">
      <c r="A457" s="5" t="str">
        <f>HYPERLINK("https://grants.gov/search-results-detail/354784","HRSA-25-055")</f>
        <v>HRSA-25-055</v>
      </c>
      <c r="B457" s="5" t="s">
        <v>523</v>
      </c>
      <c r="C457" s="5" t="s">
        <v>448</v>
      </c>
      <c r="D457" s="5" t="s">
        <v>449</v>
      </c>
      <c r="E457" s="6">
        <v>45727</v>
      </c>
      <c r="F457" s="8">
        <v>0</v>
      </c>
      <c r="G457" s="8">
        <v>0</v>
      </c>
      <c r="H457" s="5">
        <v>1</v>
      </c>
      <c r="I457" s="5" t="s">
        <v>526</v>
      </c>
      <c r="J457" s="5" t="s">
        <v>527</v>
      </c>
    </row>
    <row r="458" spans="1:10" ht="230.4" x14ac:dyDescent="0.3">
      <c r="A458" s="5" t="str">
        <f>HYPERLINK("https://grants.gov/search-results-detail/355629","HRSA-25-019")</f>
        <v>HRSA-25-019</v>
      </c>
      <c r="B458" s="5" t="s">
        <v>789</v>
      </c>
      <c r="C458" s="5" t="s">
        <v>448</v>
      </c>
      <c r="D458" s="5" t="s">
        <v>449</v>
      </c>
      <c r="E458" s="6">
        <v>45733</v>
      </c>
      <c r="F458" s="8">
        <v>75000</v>
      </c>
      <c r="G458" s="8">
        <v>0</v>
      </c>
      <c r="H458" s="5">
        <v>6</v>
      </c>
      <c r="I458" s="5" t="s">
        <v>790</v>
      </c>
      <c r="J458" s="5" t="s">
        <v>791</v>
      </c>
    </row>
    <row r="459" spans="1:10" ht="244.8" x14ac:dyDescent="0.3">
      <c r="A459" s="5" t="str">
        <f>HYPERLINK("https://grants.gov/search-results-detail/355776","HRSA-25-071")</f>
        <v>HRSA-25-071</v>
      </c>
      <c r="B459" s="5" t="s">
        <v>734</v>
      </c>
      <c r="C459" s="5" t="s">
        <v>448</v>
      </c>
      <c r="D459" s="5" t="s">
        <v>449</v>
      </c>
      <c r="E459" s="6">
        <v>45734</v>
      </c>
      <c r="F459" s="8">
        <v>0</v>
      </c>
      <c r="G459" s="8">
        <v>0</v>
      </c>
      <c r="H459" s="5">
        <v>40</v>
      </c>
      <c r="I459" s="5" t="s">
        <v>735</v>
      </c>
      <c r="J459" s="5" t="s">
        <v>736</v>
      </c>
    </row>
    <row r="460" spans="1:10" ht="302.39999999999998" x14ac:dyDescent="0.3">
      <c r="A460" s="5" t="str">
        <f>HYPERLINK("https://grants.gov/search-results-detail/355779","HRSA-25-075")</f>
        <v>HRSA-25-075</v>
      </c>
      <c r="B460" s="5" t="s">
        <v>738</v>
      </c>
      <c r="C460" s="5" t="s">
        <v>448</v>
      </c>
      <c r="D460" s="5" t="s">
        <v>449</v>
      </c>
      <c r="E460" s="6">
        <v>45734</v>
      </c>
      <c r="F460" s="8">
        <v>450000</v>
      </c>
      <c r="G460" s="8">
        <v>0</v>
      </c>
      <c r="H460" s="5">
        <v>27</v>
      </c>
      <c r="I460" s="5" t="s">
        <v>739</v>
      </c>
      <c r="J460" s="5" t="s">
        <v>740</v>
      </c>
    </row>
    <row r="461" spans="1:10" ht="409.6" x14ac:dyDescent="0.3">
      <c r="A461" s="5" t="str">
        <f>HYPERLINK("https://grants.gov/search-results-detail/357868","HRSA-25-032")</f>
        <v>HRSA-25-032</v>
      </c>
      <c r="B461" s="5" t="s">
        <v>708</v>
      </c>
      <c r="C461" s="5" t="s">
        <v>448</v>
      </c>
      <c r="D461" s="5" t="s">
        <v>449</v>
      </c>
      <c r="E461" s="6">
        <v>45736</v>
      </c>
      <c r="F461" s="8">
        <v>400000</v>
      </c>
      <c r="G461" s="8">
        <v>0</v>
      </c>
      <c r="H461" s="5">
        <v>5</v>
      </c>
      <c r="I461" s="5" t="s">
        <v>709</v>
      </c>
      <c r="J461" s="5" t="s">
        <v>710</v>
      </c>
    </row>
    <row r="462" spans="1:10" ht="273.60000000000002" x14ac:dyDescent="0.3">
      <c r="A462" s="5" t="str">
        <f>HYPERLINK("https://grants.gov/search-results-detail/355781","HRSA-25-078")</f>
        <v>HRSA-25-078</v>
      </c>
      <c r="B462" s="5" t="s">
        <v>726</v>
      </c>
      <c r="C462" s="5" t="s">
        <v>448</v>
      </c>
      <c r="D462" s="5" t="s">
        <v>449</v>
      </c>
      <c r="E462" s="6">
        <v>45736</v>
      </c>
      <c r="F462" s="8">
        <v>0</v>
      </c>
      <c r="G462" s="8">
        <v>0</v>
      </c>
      <c r="H462" s="5">
        <v>19</v>
      </c>
      <c r="I462" s="5" t="s">
        <v>727</v>
      </c>
      <c r="J462" s="5" t="s">
        <v>728</v>
      </c>
    </row>
    <row r="463" spans="1:10" ht="409.6" x14ac:dyDescent="0.3">
      <c r="A463" s="5" t="str">
        <f>HYPERLINK("https://grants.gov/search-results-detail/355357","HRSA-25-007")</f>
        <v>HRSA-25-007</v>
      </c>
      <c r="B463" s="5" t="s">
        <v>447</v>
      </c>
      <c r="C463" s="5" t="s">
        <v>448</v>
      </c>
      <c r="D463" s="5" t="s">
        <v>449</v>
      </c>
      <c r="E463" s="6">
        <v>45757</v>
      </c>
      <c r="F463" s="8">
        <v>750000</v>
      </c>
      <c r="G463" s="8">
        <v>0</v>
      </c>
      <c r="H463" s="5">
        <v>15</v>
      </c>
      <c r="I463" s="5" t="s">
        <v>450</v>
      </c>
      <c r="J463" s="5" t="s">
        <v>451</v>
      </c>
    </row>
    <row r="464" spans="1:10" ht="230.4" x14ac:dyDescent="0.3">
      <c r="A464" s="5" t="str">
        <f>HYPERLINK("https://grants.gov/search-results-detail/358145","HRSA-25-011")</f>
        <v>HRSA-25-011</v>
      </c>
      <c r="B464" s="5" t="s">
        <v>493</v>
      </c>
      <c r="C464" s="5" t="s">
        <v>448</v>
      </c>
      <c r="D464" s="5" t="s">
        <v>449</v>
      </c>
      <c r="E464" s="6">
        <v>45758</v>
      </c>
      <c r="F464" s="8">
        <v>400000</v>
      </c>
      <c r="G464" s="8">
        <v>0</v>
      </c>
      <c r="H464" s="5">
        <v>8</v>
      </c>
      <c r="I464" s="5" t="s">
        <v>494</v>
      </c>
      <c r="J464" s="5" t="s">
        <v>495</v>
      </c>
    </row>
    <row r="465" spans="1:10" ht="409.6" x14ac:dyDescent="0.3">
      <c r="A465" s="5" t="str">
        <f>HYPERLINK("https://grants.gov/search-results-detail/356221","HHS-2025-IHS-TSGN-0001")</f>
        <v>HHS-2025-IHS-TSGN-0001</v>
      </c>
      <c r="B465" s="5" t="s">
        <v>767</v>
      </c>
      <c r="C465" s="5" t="s">
        <v>768</v>
      </c>
      <c r="D465" s="5" t="s">
        <v>769</v>
      </c>
      <c r="E465" s="6">
        <v>45707</v>
      </c>
      <c r="F465" s="8">
        <v>84000</v>
      </c>
      <c r="G465" s="8">
        <v>84000</v>
      </c>
      <c r="H465" s="5">
        <v>3</v>
      </c>
      <c r="I465" s="5" t="s">
        <v>770</v>
      </c>
      <c r="J465" s="5" t="s">
        <v>771</v>
      </c>
    </row>
    <row r="466" spans="1:10" ht="302.39999999999998" x14ac:dyDescent="0.3">
      <c r="A466" s="5" t="str">
        <f>HYPERLINK("https://grants.gov/search-results-detail/356222","HHS-2025-IHS-TSGP-0001")</f>
        <v>HHS-2025-IHS-TSGP-0001</v>
      </c>
      <c r="B466" s="5" t="s">
        <v>772</v>
      </c>
      <c r="C466" s="5" t="s">
        <v>768</v>
      </c>
      <c r="D466" s="5" t="s">
        <v>769</v>
      </c>
      <c r="E466" s="6">
        <v>45707</v>
      </c>
      <c r="F466" s="8">
        <v>180000</v>
      </c>
      <c r="G466" s="8">
        <v>180000</v>
      </c>
      <c r="H466" s="5">
        <v>3</v>
      </c>
      <c r="I466" s="5" t="s">
        <v>773</v>
      </c>
      <c r="J466" s="5" t="s">
        <v>774</v>
      </c>
    </row>
    <row r="467" spans="1:10" ht="259.2" x14ac:dyDescent="0.3">
      <c r="A467" s="5" t="str">
        <f>HYPERLINK("https://grants.gov/search-results-detail/352514","RFA-MH-25-100")</f>
        <v>RFA-MH-25-100</v>
      </c>
      <c r="B467" s="5" t="s">
        <v>2094</v>
      </c>
      <c r="C467" s="5" t="s">
        <v>429</v>
      </c>
      <c r="D467" s="5" t="s">
        <v>430</v>
      </c>
      <c r="E467" s="6">
        <v>45674</v>
      </c>
      <c r="F467" s="8" t="s">
        <v>8</v>
      </c>
      <c r="G467" s="8" t="s">
        <v>8</v>
      </c>
      <c r="H467" s="5"/>
      <c r="I467" s="5" t="s">
        <v>960</v>
      </c>
      <c r="J467" s="5" t="s">
        <v>2095</v>
      </c>
    </row>
    <row r="468" spans="1:10" ht="172.8" x14ac:dyDescent="0.3">
      <c r="A468" s="5" t="str">
        <f>HYPERLINK("https://grants.gov/search-results-detail/340768","PAR-22-185")</f>
        <v>PAR-22-185</v>
      </c>
      <c r="B468" s="5" t="s">
        <v>2416</v>
      </c>
      <c r="C468" s="5" t="s">
        <v>429</v>
      </c>
      <c r="D468" s="5" t="s">
        <v>430</v>
      </c>
      <c r="E468" s="6">
        <v>45674</v>
      </c>
      <c r="F468" s="8" t="s">
        <v>8</v>
      </c>
      <c r="G468" s="8" t="s">
        <v>8</v>
      </c>
      <c r="H468" s="5"/>
      <c r="I468" s="5" t="s">
        <v>2417</v>
      </c>
      <c r="J468" s="5" t="s">
        <v>2418</v>
      </c>
    </row>
    <row r="469" spans="1:10" ht="187.2" x14ac:dyDescent="0.3">
      <c r="A469" s="5" t="str">
        <f>HYPERLINK("https://grants.gov/search-results-detail/355301","RFA-MH-26-100")</f>
        <v>RFA-MH-26-100</v>
      </c>
      <c r="B469" s="5" t="s">
        <v>1995</v>
      </c>
      <c r="C469" s="5" t="s">
        <v>429</v>
      </c>
      <c r="D469" s="5" t="s">
        <v>430</v>
      </c>
      <c r="E469" s="6">
        <v>45679</v>
      </c>
      <c r="F469" s="8" t="s">
        <v>8</v>
      </c>
      <c r="G469" s="8" t="s">
        <v>8</v>
      </c>
      <c r="H469" s="5"/>
      <c r="I469" s="5" t="s">
        <v>1996</v>
      </c>
      <c r="J469" s="5" t="s">
        <v>1997</v>
      </c>
    </row>
    <row r="470" spans="1:10" ht="288" x14ac:dyDescent="0.3">
      <c r="A470" s="5" t="str">
        <f>HYPERLINK("https://grants.gov/search-results-detail/354743","RFA-DA-25-061")</f>
        <v>RFA-DA-25-061</v>
      </c>
      <c r="B470" s="5" t="s">
        <v>2012</v>
      </c>
      <c r="C470" s="5" t="s">
        <v>429</v>
      </c>
      <c r="D470" s="5" t="s">
        <v>430</v>
      </c>
      <c r="E470" s="6">
        <v>45679</v>
      </c>
      <c r="F470" s="8" t="s">
        <v>8</v>
      </c>
      <c r="G470" s="8" t="s">
        <v>8</v>
      </c>
      <c r="H470" s="5"/>
      <c r="I470" s="5" t="s">
        <v>2013</v>
      </c>
      <c r="J470" s="5" t="s">
        <v>2014</v>
      </c>
    </row>
    <row r="471" spans="1:10" ht="288" x14ac:dyDescent="0.3">
      <c r="A471" s="5" t="str">
        <f>HYPERLINK("https://grants.gov/search-results-detail/354744","RFA-DA-25-062")</f>
        <v>RFA-DA-25-062</v>
      </c>
      <c r="B471" s="5" t="s">
        <v>2015</v>
      </c>
      <c r="C471" s="5" t="s">
        <v>429</v>
      </c>
      <c r="D471" s="5" t="s">
        <v>430</v>
      </c>
      <c r="E471" s="6">
        <v>45679</v>
      </c>
      <c r="F471" s="8">
        <v>2250000</v>
      </c>
      <c r="G471" s="8" t="s">
        <v>8</v>
      </c>
      <c r="H471" s="5"/>
      <c r="I471" s="5" t="s">
        <v>431</v>
      </c>
      <c r="J471" s="5" t="s">
        <v>2014</v>
      </c>
    </row>
    <row r="472" spans="1:10" ht="302.39999999999998" x14ac:dyDescent="0.3">
      <c r="A472" s="5" t="str">
        <f>HYPERLINK("https://grants.gov/search-results-detail/354741","RFA-DA-25-025")</f>
        <v>RFA-DA-25-025</v>
      </c>
      <c r="B472" s="5" t="s">
        <v>2016</v>
      </c>
      <c r="C472" s="5" t="s">
        <v>429</v>
      </c>
      <c r="D472" s="5" t="s">
        <v>430</v>
      </c>
      <c r="E472" s="6">
        <v>45679</v>
      </c>
      <c r="F472" s="8">
        <v>5000000</v>
      </c>
      <c r="G472" s="8" t="s">
        <v>8</v>
      </c>
      <c r="H472" s="5"/>
      <c r="I472" s="5" t="s">
        <v>943</v>
      </c>
      <c r="J472" s="5" t="s">
        <v>2014</v>
      </c>
    </row>
    <row r="473" spans="1:10" ht="302.39999999999998" x14ac:dyDescent="0.3">
      <c r="A473" s="5" t="str">
        <f>HYPERLINK("https://grants.gov/search-results-detail/354742","RFA-DA-25-026")</f>
        <v>RFA-DA-25-026</v>
      </c>
      <c r="B473" s="5" t="s">
        <v>2017</v>
      </c>
      <c r="C473" s="5" t="s">
        <v>429</v>
      </c>
      <c r="D473" s="5" t="s">
        <v>430</v>
      </c>
      <c r="E473" s="6">
        <v>45679</v>
      </c>
      <c r="F473" s="8">
        <v>750000</v>
      </c>
      <c r="G473" s="8" t="s">
        <v>8</v>
      </c>
      <c r="H473" s="5"/>
      <c r="I473" s="5" t="s">
        <v>1772</v>
      </c>
      <c r="J473" s="5" t="s">
        <v>2014</v>
      </c>
    </row>
    <row r="474" spans="1:10" ht="259.2" x14ac:dyDescent="0.3">
      <c r="A474" s="5" t="str">
        <f>HYPERLINK("https://grants.gov/search-results-detail/347840","RFA-EB-23-005")</f>
        <v>RFA-EB-23-005</v>
      </c>
      <c r="B474" s="5" t="s">
        <v>2260</v>
      </c>
      <c r="C474" s="5" t="s">
        <v>429</v>
      </c>
      <c r="D474" s="5" t="s">
        <v>430</v>
      </c>
      <c r="E474" s="6">
        <v>45679</v>
      </c>
      <c r="F474" s="8" t="s">
        <v>8</v>
      </c>
      <c r="G474" s="8" t="s">
        <v>8</v>
      </c>
      <c r="H474" s="5"/>
      <c r="I474" s="5" t="s">
        <v>2261</v>
      </c>
      <c r="J474" s="5" t="s">
        <v>2262</v>
      </c>
    </row>
    <row r="475" spans="1:10" ht="403.2" x14ac:dyDescent="0.3">
      <c r="A475" s="5" t="str">
        <f>HYPERLINK("https://grants.gov/search-results-detail/353021","RFA-MH-25-120")</f>
        <v>RFA-MH-25-120</v>
      </c>
      <c r="B475" s="5" t="s">
        <v>2068</v>
      </c>
      <c r="C475" s="5" t="s">
        <v>429</v>
      </c>
      <c r="D475" s="5" t="s">
        <v>430</v>
      </c>
      <c r="E475" s="6">
        <v>45680</v>
      </c>
      <c r="F475" s="8" t="s">
        <v>8</v>
      </c>
      <c r="G475" s="8" t="s">
        <v>8</v>
      </c>
      <c r="H475" s="5"/>
      <c r="I475" s="5" t="s">
        <v>2069</v>
      </c>
      <c r="J475" s="5" t="s">
        <v>2070</v>
      </c>
    </row>
    <row r="476" spans="1:10" ht="409.6" x14ac:dyDescent="0.3">
      <c r="A476" s="5" t="str">
        <f>HYPERLINK("https://grants.gov/search-results-detail/338351","PAR-22-114")</f>
        <v>PAR-22-114</v>
      </c>
      <c r="B476" s="5" t="s">
        <v>2442</v>
      </c>
      <c r="C476" s="5" t="s">
        <v>429</v>
      </c>
      <c r="D476" s="5" t="s">
        <v>430</v>
      </c>
      <c r="E476" s="6">
        <v>45680</v>
      </c>
      <c r="F476" s="8" t="s">
        <v>8</v>
      </c>
      <c r="G476" s="8" t="s">
        <v>8</v>
      </c>
      <c r="H476" s="5"/>
      <c r="I476" s="5" t="s">
        <v>2443</v>
      </c>
      <c r="J476" s="5" t="s">
        <v>2444</v>
      </c>
    </row>
    <row r="477" spans="1:10" ht="409.6" x14ac:dyDescent="0.3">
      <c r="A477" s="5" t="str">
        <f>HYPERLINK("https://grants.gov/search-results-detail/356553","RFA-NS-25-024")</f>
        <v>RFA-NS-25-024</v>
      </c>
      <c r="B477" s="5" t="s">
        <v>1856</v>
      </c>
      <c r="C477" s="5" t="s">
        <v>429</v>
      </c>
      <c r="D477" s="5" t="s">
        <v>430</v>
      </c>
      <c r="E477" s="6">
        <v>45681</v>
      </c>
      <c r="F477" s="8" t="s">
        <v>8</v>
      </c>
      <c r="G477" s="8" t="s">
        <v>8</v>
      </c>
      <c r="H477" s="5"/>
      <c r="I477" s="5" t="s">
        <v>1761</v>
      </c>
      <c r="J477" s="5" t="s">
        <v>1857</v>
      </c>
    </row>
    <row r="478" spans="1:10" ht="345.6" x14ac:dyDescent="0.3">
      <c r="A478" s="5" t="str">
        <f>HYPERLINK("https://grants.gov/search-results-detail/354378","RFA-NS-25-010")</f>
        <v>RFA-NS-25-010</v>
      </c>
      <c r="B478" s="5" t="s">
        <v>2028</v>
      </c>
      <c r="C478" s="5" t="s">
        <v>429</v>
      </c>
      <c r="D478" s="5" t="s">
        <v>430</v>
      </c>
      <c r="E478" s="6">
        <v>45681</v>
      </c>
      <c r="F478" s="8">
        <v>6700000</v>
      </c>
      <c r="G478" s="8" t="s">
        <v>8</v>
      </c>
      <c r="H478" s="5"/>
      <c r="I478" s="5" t="s">
        <v>1368</v>
      </c>
      <c r="J478" s="5" t="s">
        <v>2029</v>
      </c>
    </row>
    <row r="479" spans="1:10" ht="331.2" x14ac:dyDescent="0.3">
      <c r="A479" s="5" t="str">
        <f>HYPERLINK("https://grants.gov/search-results-detail/329395","PA-20-272")</f>
        <v>PA-20-272</v>
      </c>
      <c r="B479" s="5" t="s">
        <v>2557</v>
      </c>
      <c r="C479" s="5" t="s">
        <v>429</v>
      </c>
      <c r="D479" s="5" t="s">
        <v>430</v>
      </c>
      <c r="E479" s="6">
        <v>45681</v>
      </c>
      <c r="F479" s="8" t="s">
        <v>8</v>
      </c>
      <c r="G479" s="8" t="s">
        <v>8</v>
      </c>
      <c r="H479" s="5"/>
      <c r="I479" s="5" t="s">
        <v>2558</v>
      </c>
      <c r="J479" s="5" t="s">
        <v>2559</v>
      </c>
    </row>
    <row r="480" spans="1:10" ht="409.6" x14ac:dyDescent="0.3">
      <c r="A480" s="5" t="str">
        <f>HYPERLINK("https://grants.gov/search-results-detail/357600","RFA-MD-24-011")</f>
        <v>RFA-MD-24-011</v>
      </c>
      <c r="B480" s="5" t="s">
        <v>978</v>
      </c>
      <c r="C480" s="5" t="s">
        <v>429</v>
      </c>
      <c r="D480" s="5" t="s">
        <v>430</v>
      </c>
      <c r="E480" s="6">
        <v>45682</v>
      </c>
      <c r="F480" s="8">
        <v>3500000</v>
      </c>
      <c r="G480" s="8" t="s">
        <v>8</v>
      </c>
      <c r="H480" s="5"/>
      <c r="I480" s="5" t="s">
        <v>979</v>
      </c>
      <c r="J480" s="5" t="s">
        <v>980</v>
      </c>
    </row>
    <row r="481" spans="1:10" ht="244.8" x14ac:dyDescent="0.3">
      <c r="A481" s="5" t="str">
        <f>HYPERLINK("https://grants.gov/search-results-detail/337735","PAR-22-095")</f>
        <v>PAR-22-095</v>
      </c>
      <c r="B481" s="5" t="s">
        <v>2452</v>
      </c>
      <c r="C481" s="5" t="s">
        <v>429</v>
      </c>
      <c r="D481" s="5" t="s">
        <v>430</v>
      </c>
      <c r="E481" s="6">
        <v>45682</v>
      </c>
      <c r="F481" s="8">
        <v>150000</v>
      </c>
      <c r="G481" s="8" t="s">
        <v>8</v>
      </c>
      <c r="H481" s="5"/>
      <c r="I481" s="5" t="s">
        <v>2453</v>
      </c>
      <c r="J481" s="5" t="s">
        <v>2454</v>
      </c>
    </row>
    <row r="482" spans="1:10" ht="201.6" x14ac:dyDescent="0.3">
      <c r="A482" s="5" t="str">
        <f>HYPERLINK("https://grants.gov/search-results-detail/332516","PA-21-201")</f>
        <v>PA-21-201</v>
      </c>
      <c r="B482" s="5" t="s">
        <v>2500</v>
      </c>
      <c r="C482" s="5" t="s">
        <v>429</v>
      </c>
      <c r="D482" s="5" t="s">
        <v>430</v>
      </c>
      <c r="E482" s="6">
        <v>45682</v>
      </c>
      <c r="F482" s="8" t="s">
        <v>8</v>
      </c>
      <c r="G482" s="8" t="s">
        <v>8</v>
      </c>
      <c r="H482" s="5"/>
      <c r="I482" s="5" t="s">
        <v>2501</v>
      </c>
      <c r="J482" s="5" t="s">
        <v>2502</v>
      </c>
    </row>
    <row r="483" spans="1:10" ht="316.8" x14ac:dyDescent="0.3">
      <c r="A483" s="5" t="str">
        <f>HYPERLINK("https://grants.gov/search-results-detail/356594","PAR-25-061")</f>
        <v>PAR-25-061</v>
      </c>
      <c r="B483" s="5" t="s">
        <v>1836</v>
      </c>
      <c r="C483" s="5" t="s">
        <v>429</v>
      </c>
      <c r="D483" s="5" t="s">
        <v>430</v>
      </c>
      <c r="E483" s="6">
        <v>45684</v>
      </c>
      <c r="F483" s="8">
        <v>8000000</v>
      </c>
      <c r="G483" s="8" t="s">
        <v>8</v>
      </c>
      <c r="H483" s="5"/>
      <c r="I483" s="5" t="s">
        <v>1837</v>
      </c>
      <c r="J483" s="5" t="s">
        <v>1838</v>
      </c>
    </row>
    <row r="484" spans="1:10" ht="409.6" x14ac:dyDescent="0.3">
      <c r="A484" s="5" t="str">
        <f>HYPERLINK("https://grants.gov/search-results-detail/344620","PAR-23-030")</f>
        <v>PAR-23-030</v>
      </c>
      <c r="B484" s="5" t="s">
        <v>2352</v>
      </c>
      <c r="C484" s="5" t="s">
        <v>429</v>
      </c>
      <c r="D484" s="5" t="s">
        <v>430</v>
      </c>
      <c r="E484" s="6">
        <v>45684</v>
      </c>
      <c r="F484" s="8" t="s">
        <v>8</v>
      </c>
      <c r="G484" s="8" t="s">
        <v>8</v>
      </c>
      <c r="H484" s="5"/>
      <c r="I484" s="5" t="s">
        <v>2353</v>
      </c>
      <c r="J484" s="5" t="s">
        <v>2354</v>
      </c>
    </row>
    <row r="485" spans="1:10" ht="288" x14ac:dyDescent="0.3">
      <c r="A485" s="5" t="str">
        <f>HYPERLINK("https://grants.gov/search-results-detail/357299","RFA-NR-25-002")</f>
        <v>RFA-NR-25-002</v>
      </c>
      <c r="B485" s="5" t="s">
        <v>1367</v>
      </c>
      <c r="C485" s="5" t="s">
        <v>429</v>
      </c>
      <c r="D485" s="5" t="s">
        <v>430</v>
      </c>
      <c r="E485" s="6">
        <v>45685</v>
      </c>
      <c r="F485" s="8">
        <v>500000</v>
      </c>
      <c r="G485" s="8" t="s">
        <v>8</v>
      </c>
      <c r="H485" s="5"/>
      <c r="I485" s="5" t="s">
        <v>1368</v>
      </c>
      <c r="J485" s="5" t="s">
        <v>1369</v>
      </c>
    </row>
    <row r="486" spans="1:10" ht="187.2" x14ac:dyDescent="0.3">
      <c r="A486" s="5" t="str">
        <f>HYPERLINK("https://grants.gov/search-results-detail/356813","RFA-AI-24-069")</f>
        <v>RFA-AI-24-069</v>
      </c>
      <c r="B486" s="5" t="s">
        <v>1682</v>
      </c>
      <c r="C486" s="5" t="s">
        <v>429</v>
      </c>
      <c r="D486" s="5" t="s">
        <v>430</v>
      </c>
      <c r="E486" s="6">
        <v>45685</v>
      </c>
      <c r="F486" s="8">
        <v>1200000</v>
      </c>
      <c r="G486" s="8" t="s">
        <v>8</v>
      </c>
      <c r="H486" s="5"/>
      <c r="I486" s="5" t="s">
        <v>1305</v>
      </c>
      <c r="J486" s="5" t="s">
        <v>1683</v>
      </c>
    </row>
    <row r="487" spans="1:10" ht="187.2" x14ac:dyDescent="0.3">
      <c r="A487" s="5" t="str">
        <f>HYPERLINK("https://grants.gov/search-results-detail/356499","RFA-AI-24-065")</f>
        <v>RFA-AI-24-065</v>
      </c>
      <c r="B487" s="5" t="s">
        <v>1869</v>
      </c>
      <c r="C487" s="5" t="s">
        <v>429</v>
      </c>
      <c r="D487" s="5" t="s">
        <v>430</v>
      </c>
      <c r="E487" s="6">
        <v>45685</v>
      </c>
      <c r="F487" s="8" t="s">
        <v>8</v>
      </c>
      <c r="G487" s="8" t="s">
        <v>8</v>
      </c>
      <c r="H487" s="5"/>
      <c r="I487" s="5" t="s">
        <v>1191</v>
      </c>
      <c r="J487" s="5" t="s">
        <v>1870</v>
      </c>
    </row>
    <row r="488" spans="1:10" ht="259.2" x14ac:dyDescent="0.3">
      <c r="A488" s="5" t="str">
        <f>HYPERLINK("https://grants.gov/search-results-detail/356793","RFA-MD-24-010")</f>
        <v>RFA-MD-24-010</v>
      </c>
      <c r="B488" s="5" t="s">
        <v>1704</v>
      </c>
      <c r="C488" s="5" t="s">
        <v>429</v>
      </c>
      <c r="D488" s="5" t="s">
        <v>430</v>
      </c>
      <c r="E488" s="6">
        <v>45686</v>
      </c>
      <c r="F488" s="8" t="s">
        <v>8</v>
      </c>
      <c r="G488" s="8" t="s">
        <v>8</v>
      </c>
      <c r="H488" s="5"/>
      <c r="I488" s="5" t="s">
        <v>1705</v>
      </c>
      <c r="J488" s="5" t="s">
        <v>1706</v>
      </c>
    </row>
    <row r="489" spans="1:10" ht="409.6" x14ac:dyDescent="0.3">
      <c r="A489" s="5" t="str">
        <f>HYPERLINK("https://grants.gov/search-results-detail/338252","PAR-22-000")</f>
        <v>PAR-22-000</v>
      </c>
      <c r="B489" s="5" t="s">
        <v>2445</v>
      </c>
      <c r="C489" s="5" t="s">
        <v>429</v>
      </c>
      <c r="D489" s="5" t="s">
        <v>430</v>
      </c>
      <c r="E489" s="6">
        <v>45686</v>
      </c>
      <c r="F489" s="8" t="s">
        <v>8</v>
      </c>
      <c r="G489" s="8" t="s">
        <v>8</v>
      </c>
      <c r="H489" s="5"/>
      <c r="I489" s="5" t="s">
        <v>2446</v>
      </c>
      <c r="J489" s="5" t="s">
        <v>2447</v>
      </c>
    </row>
    <row r="490" spans="1:10" ht="331.2" x14ac:dyDescent="0.3">
      <c r="A490" s="5" t="str">
        <f>HYPERLINK("https://grants.gov/search-results-detail/356872","PA-25-212")</f>
        <v>PA-25-212</v>
      </c>
      <c r="B490" s="5" t="s">
        <v>1600</v>
      </c>
      <c r="C490" s="5" t="s">
        <v>429</v>
      </c>
      <c r="D490" s="5" t="s">
        <v>430</v>
      </c>
      <c r="E490" s="6">
        <v>45688</v>
      </c>
      <c r="F490" s="8" t="s">
        <v>8</v>
      </c>
      <c r="G490" s="8" t="s">
        <v>8</v>
      </c>
      <c r="H490" s="5"/>
      <c r="I490" s="5" t="s">
        <v>1601</v>
      </c>
      <c r="J490" s="5" t="s">
        <v>1602</v>
      </c>
    </row>
    <row r="491" spans="1:10" ht="201.6" x14ac:dyDescent="0.3">
      <c r="A491" s="5" t="str">
        <f>HYPERLINK("https://grants.gov/search-results-detail/356714","RFA-AI-24-068")</f>
        <v>RFA-AI-24-068</v>
      </c>
      <c r="B491" s="5" t="s">
        <v>1746</v>
      </c>
      <c r="C491" s="5" t="s">
        <v>429</v>
      </c>
      <c r="D491" s="5" t="s">
        <v>430</v>
      </c>
      <c r="E491" s="6">
        <v>45688</v>
      </c>
      <c r="F491" s="8" t="s">
        <v>8</v>
      </c>
      <c r="G491" s="8" t="s">
        <v>8</v>
      </c>
      <c r="H491" s="5"/>
      <c r="I491" s="5" t="s">
        <v>1747</v>
      </c>
      <c r="J491" s="5" t="s">
        <v>1748</v>
      </c>
    </row>
    <row r="492" spans="1:10" ht="288" x14ac:dyDescent="0.3">
      <c r="A492" s="5" t="str">
        <f>HYPERLINK("https://grants.gov/search-results-detail/342866","PAR-22-220")</f>
        <v>PAR-22-220</v>
      </c>
      <c r="B492" s="5" t="s">
        <v>2398</v>
      </c>
      <c r="C492" s="5" t="s">
        <v>429</v>
      </c>
      <c r="D492" s="5" t="s">
        <v>430</v>
      </c>
      <c r="E492" s="6">
        <v>45688</v>
      </c>
      <c r="F492" s="8">
        <v>400000</v>
      </c>
      <c r="G492" s="8" t="s">
        <v>8</v>
      </c>
      <c r="H492" s="5"/>
      <c r="I492" s="5" t="s">
        <v>2399</v>
      </c>
      <c r="J492" s="5" t="s">
        <v>2400</v>
      </c>
    </row>
    <row r="493" spans="1:10" ht="259.2" x14ac:dyDescent="0.3">
      <c r="A493" s="5" t="str">
        <f>HYPERLINK("https://grants.gov/search-results-detail/356503","RFA-MH-25-200")</f>
        <v>RFA-MH-25-200</v>
      </c>
      <c r="B493" s="5" t="s">
        <v>1866</v>
      </c>
      <c r="C493" s="5" t="s">
        <v>429</v>
      </c>
      <c r="D493" s="5" t="s">
        <v>430</v>
      </c>
      <c r="E493" s="6">
        <v>45691</v>
      </c>
      <c r="F493" s="8">
        <v>1000000</v>
      </c>
      <c r="G493" s="8" t="s">
        <v>8</v>
      </c>
      <c r="H493" s="5"/>
      <c r="I493" s="5" t="s">
        <v>1867</v>
      </c>
      <c r="J493" s="5" t="s">
        <v>1868</v>
      </c>
    </row>
    <row r="494" spans="1:10" ht="288" x14ac:dyDescent="0.3">
      <c r="A494" s="5" t="str">
        <f>HYPERLINK("https://grants.gov/search-results-detail/357119","RFA-ES-25-001")</f>
        <v>RFA-ES-25-001</v>
      </c>
      <c r="B494" s="5" t="s">
        <v>1481</v>
      </c>
      <c r="C494" s="5" t="s">
        <v>429</v>
      </c>
      <c r="D494" s="5" t="s">
        <v>430</v>
      </c>
      <c r="E494" s="6">
        <v>45694</v>
      </c>
      <c r="F494" s="8">
        <v>500000</v>
      </c>
      <c r="G494" s="8" t="s">
        <v>8</v>
      </c>
      <c r="H494" s="5"/>
      <c r="I494" s="5" t="s">
        <v>1482</v>
      </c>
      <c r="J494" s="5" t="s">
        <v>1483</v>
      </c>
    </row>
    <row r="495" spans="1:10" ht="388.8" x14ac:dyDescent="0.3">
      <c r="A495" s="5" t="str">
        <f>HYPERLINK("https://grants.gov/search-results-detail/356661","RFA-NS-25-020")</f>
        <v>RFA-NS-25-020</v>
      </c>
      <c r="B495" s="5" t="s">
        <v>1788</v>
      </c>
      <c r="C495" s="5" t="s">
        <v>429</v>
      </c>
      <c r="D495" s="5" t="s">
        <v>430</v>
      </c>
      <c r="E495" s="6">
        <v>45694</v>
      </c>
      <c r="F495" s="8" t="s">
        <v>8</v>
      </c>
      <c r="G495" s="8" t="s">
        <v>8</v>
      </c>
      <c r="H495" s="5"/>
      <c r="I495" s="5" t="s">
        <v>1747</v>
      </c>
      <c r="J495" s="5" t="s">
        <v>1789</v>
      </c>
    </row>
    <row r="496" spans="1:10" ht="288" x14ac:dyDescent="0.3">
      <c r="A496" s="5" t="str">
        <f>HYPERLINK("https://grants.gov/search-results-detail/356635","RFA-AI-24-067")</f>
        <v>RFA-AI-24-067</v>
      </c>
      <c r="B496" s="5" t="s">
        <v>1819</v>
      </c>
      <c r="C496" s="5" t="s">
        <v>429</v>
      </c>
      <c r="D496" s="5" t="s">
        <v>430</v>
      </c>
      <c r="E496" s="6">
        <v>45694</v>
      </c>
      <c r="F496" s="8">
        <v>350000</v>
      </c>
      <c r="G496" s="8" t="s">
        <v>8</v>
      </c>
      <c r="H496" s="5"/>
      <c r="I496" s="5" t="s">
        <v>1820</v>
      </c>
      <c r="J496" s="5" t="s">
        <v>1821</v>
      </c>
    </row>
    <row r="497" spans="1:10" ht="244.8" x14ac:dyDescent="0.3">
      <c r="A497" s="5" t="str">
        <f>HYPERLINK("https://grants.gov/search-results-detail/336030","PAR-22-025")</f>
        <v>PAR-22-025</v>
      </c>
      <c r="B497" s="5" t="s">
        <v>2473</v>
      </c>
      <c r="C497" s="5" t="s">
        <v>429</v>
      </c>
      <c r="D497" s="5" t="s">
        <v>430</v>
      </c>
      <c r="E497" s="6">
        <v>45695</v>
      </c>
      <c r="F497" s="8" t="s">
        <v>8</v>
      </c>
      <c r="G497" s="8" t="s">
        <v>8</v>
      </c>
      <c r="H497" s="5"/>
      <c r="I497" s="5" t="s">
        <v>2474</v>
      </c>
      <c r="J497" s="5" t="s">
        <v>2475</v>
      </c>
    </row>
    <row r="498" spans="1:10" ht="409.6" x14ac:dyDescent="0.3">
      <c r="A498" s="5" t="str">
        <f>HYPERLINK("https://grants.gov/search-results-detail/349506","RFA-NS-24-014")</f>
        <v>RFA-NS-24-014</v>
      </c>
      <c r="B498" s="5" t="s">
        <v>2231</v>
      </c>
      <c r="C498" s="5" t="s">
        <v>429</v>
      </c>
      <c r="D498" s="5" t="s">
        <v>430</v>
      </c>
      <c r="E498" s="6">
        <v>45698</v>
      </c>
      <c r="F498" s="8" t="s">
        <v>8</v>
      </c>
      <c r="G498" s="8" t="s">
        <v>8</v>
      </c>
      <c r="H498" s="5"/>
      <c r="I498" s="5" t="s">
        <v>2232</v>
      </c>
      <c r="J498" s="5" t="s">
        <v>2233</v>
      </c>
    </row>
    <row r="499" spans="1:10" ht="302.39999999999998" x14ac:dyDescent="0.3">
      <c r="A499" s="5" t="str">
        <f>HYPERLINK("https://grants.gov/search-results-detail/357237","RFA-HG-25-004")</f>
        <v>RFA-HG-25-004</v>
      </c>
      <c r="B499" s="5" t="s">
        <v>1409</v>
      </c>
      <c r="C499" s="5" t="s">
        <v>429</v>
      </c>
      <c r="D499" s="5" t="s">
        <v>430</v>
      </c>
      <c r="E499" s="6">
        <v>45699</v>
      </c>
      <c r="F499" s="8">
        <v>500000</v>
      </c>
      <c r="G499" s="8" t="s">
        <v>8</v>
      </c>
      <c r="H499" s="5"/>
      <c r="I499" s="5" t="s">
        <v>518</v>
      </c>
      <c r="J499" s="5" t="s">
        <v>1410</v>
      </c>
    </row>
    <row r="500" spans="1:10" ht="288" x14ac:dyDescent="0.3">
      <c r="A500" s="5" t="str">
        <f>HYPERLINK("https://grants.gov/search-results-detail/357235","RFA-HG-25-002")</f>
        <v>RFA-HG-25-002</v>
      </c>
      <c r="B500" s="5" t="s">
        <v>1411</v>
      </c>
      <c r="C500" s="5" t="s">
        <v>429</v>
      </c>
      <c r="D500" s="5" t="s">
        <v>430</v>
      </c>
      <c r="E500" s="6">
        <v>45699</v>
      </c>
      <c r="F500" s="8" t="s">
        <v>8</v>
      </c>
      <c r="G500" s="8" t="s">
        <v>8</v>
      </c>
      <c r="H500" s="5"/>
      <c r="I500" s="5" t="s">
        <v>1412</v>
      </c>
      <c r="J500" s="5" t="s">
        <v>1413</v>
      </c>
    </row>
    <row r="501" spans="1:10" ht="288" x14ac:dyDescent="0.3">
      <c r="A501" s="5" t="str">
        <f>HYPERLINK("https://grants.gov/search-results-detail/357236","RFA-HG-25-003")</f>
        <v>RFA-HG-25-003</v>
      </c>
      <c r="B501" s="5" t="s">
        <v>1416</v>
      </c>
      <c r="C501" s="5" t="s">
        <v>429</v>
      </c>
      <c r="D501" s="5" t="s">
        <v>430</v>
      </c>
      <c r="E501" s="6">
        <v>45699</v>
      </c>
      <c r="F501" s="8">
        <v>250000</v>
      </c>
      <c r="G501" s="8" t="s">
        <v>8</v>
      </c>
      <c r="H501" s="5"/>
      <c r="I501" s="5" t="s">
        <v>1417</v>
      </c>
      <c r="J501" s="5" t="s">
        <v>1418</v>
      </c>
    </row>
    <row r="502" spans="1:10" ht="187.2" x14ac:dyDescent="0.3">
      <c r="A502" s="5" t="str">
        <f>HYPERLINK("https://grants.gov/search-results-detail/357463","RFA-AG-24-049")</f>
        <v>RFA-AG-24-049</v>
      </c>
      <c r="B502" s="5" t="s">
        <v>1190</v>
      </c>
      <c r="C502" s="5" t="s">
        <v>429</v>
      </c>
      <c r="D502" s="5" t="s">
        <v>430</v>
      </c>
      <c r="E502" s="6">
        <v>45701</v>
      </c>
      <c r="F502" s="8">
        <v>1000000</v>
      </c>
      <c r="G502" s="8" t="s">
        <v>8</v>
      </c>
      <c r="H502" s="5"/>
      <c r="I502" s="5" t="s">
        <v>1191</v>
      </c>
      <c r="J502" s="5" t="s">
        <v>1192</v>
      </c>
    </row>
    <row r="503" spans="1:10" ht="187.2" x14ac:dyDescent="0.3">
      <c r="A503" s="5" t="str">
        <f>HYPERLINK("https://grants.gov/search-results-detail/356696","RFA-NS-24-038")</f>
        <v>RFA-NS-24-038</v>
      </c>
      <c r="B503" s="5" t="s">
        <v>1751</v>
      </c>
      <c r="C503" s="5" t="s">
        <v>429</v>
      </c>
      <c r="D503" s="5" t="s">
        <v>430</v>
      </c>
      <c r="E503" s="6">
        <v>45702</v>
      </c>
      <c r="F503" s="8">
        <v>1000000</v>
      </c>
      <c r="G503" s="8" t="s">
        <v>8</v>
      </c>
      <c r="H503" s="5"/>
      <c r="I503" s="5" t="s">
        <v>1752</v>
      </c>
      <c r="J503" s="5" t="s">
        <v>1753</v>
      </c>
    </row>
    <row r="504" spans="1:10" ht="302.39999999999998" x14ac:dyDescent="0.3">
      <c r="A504" s="5" t="str">
        <f>HYPERLINK("https://grants.gov/search-results-detail/356364","RFA-AG-25-031")</f>
        <v>RFA-AG-25-031</v>
      </c>
      <c r="B504" s="5" t="s">
        <v>1904</v>
      </c>
      <c r="C504" s="5" t="s">
        <v>429</v>
      </c>
      <c r="D504" s="5" t="s">
        <v>430</v>
      </c>
      <c r="E504" s="6">
        <v>45702</v>
      </c>
      <c r="F504" s="8">
        <v>100000</v>
      </c>
      <c r="G504" s="8" t="s">
        <v>8</v>
      </c>
      <c r="H504" s="5"/>
      <c r="I504" s="5" t="s">
        <v>1905</v>
      </c>
      <c r="J504" s="5" t="s">
        <v>1906</v>
      </c>
    </row>
    <row r="505" spans="1:10" ht="288" x14ac:dyDescent="0.3">
      <c r="A505" s="5" t="str">
        <f>HYPERLINK("https://grants.gov/search-results-detail/356365","RFA-AG-25-032")</f>
        <v>RFA-AG-25-032</v>
      </c>
      <c r="B505" s="5" t="s">
        <v>1907</v>
      </c>
      <c r="C505" s="5" t="s">
        <v>429</v>
      </c>
      <c r="D505" s="5" t="s">
        <v>430</v>
      </c>
      <c r="E505" s="6">
        <v>45702</v>
      </c>
      <c r="F505" s="8">
        <v>400000</v>
      </c>
      <c r="G505" s="8" t="s">
        <v>8</v>
      </c>
      <c r="H505" s="5"/>
      <c r="I505" s="5" t="s">
        <v>1908</v>
      </c>
      <c r="J505" s="5" t="s">
        <v>1909</v>
      </c>
    </row>
    <row r="506" spans="1:10" ht="409.6" x14ac:dyDescent="0.3">
      <c r="A506" s="5" t="str">
        <f>HYPERLINK("https://grants.gov/search-results-detail/357716","RFA-AA-24-012")</f>
        <v>RFA-AA-24-012</v>
      </c>
      <c r="B506" s="5" t="s">
        <v>838</v>
      </c>
      <c r="C506" s="5" t="s">
        <v>429</v>
      </c>
      <c r="D506" s="5" t="s">
        <v>430</v>
      </c>
      <c r="E506" s="6">
        <v>45707</v>
      </c>
      <c r="F506" s="8" t="s">
        <v>8</v>
      </c>
      <c r="G506" s="8" t="s">
        <v>8</v>
      </c>
      <c r="H506" s="5"/>
      <c r="I506" s="5" t="s">
        <v>839</v>
      </c>
      <c r="J506" s="5" t="s">
        <v>840</v>
      </c>
    </row>
    <row r="507" spans="1:10" ht="259.2" x14ac:dyDescent="0.3">
      <c r="A507" s="5" t="str">
        <f>HYPERLINK("https://grants.gov/search-results-detail/357594","PAR-24-287")</f>
        <v>PAR-24-287</v>
      </c>
      <c r="B507" s="5" t="s">
        <v>973</v>
      </c>
      <c r="C507" s="5" t="s">
        <v>429</v>
      </c>
      <c r="D507" s="5" t="s">
        <v>430</v>
      </c>
      <c r="E507" s="6">
        <v>45707</v>
      </c>
      <c r="F507" s="8" t="s">
        <v>8</v>
      </c>
      <c r="G507" s="8" t="s">
        <v>8</v>
      </c>
      <c r="H507" s="5"/>
      <c r="I507" s="5" t="s">
        <v>779</v>
      </c>
      <c r="J507" s="5" t="s">
        <v>974</v>
      </c>
    </row>
    <row r="508" spans="1:10" ht="244.8" x14ac:dyDescent="0.3">
      <c r="A508" s="5" t="str">
        <f>HYPERLINK("https://grants.gov/search-results-detail/357635","PAR-25-224")</f>
        <v>PAR-25-224</v>
      </c>
      <c r="B508" s="5" t="s">
        <v>959</v>
      </c>
      <c r="C508" s="5" t="s">
        <v>429</v>
      </c>
      <c r="D508" s="5" t="s">
        <v>430</v>
      </c>
      <c r="E508" s="6">
        <v>45709</v>
      </c>
      <c r="F508" s="8" t="s">
        <v>8</v>
      </c>
      <c r="G508" s="8" t="s">
        <v>8</v>
      </c>
      <c r="H508" s="5"/>
      <c r="I508" s="5" t="s">
        <v>960</v>
      </c>
      <c r="J508" s="5" t="s">
        <v>961</v>
      </c>
    </row>
    <row r="509" spans="1:10" ht="288" x14ac:dyDescent="0.3">
      <c r="A509" s="5" t="str">
        <f>HYPERLINK("https://grants.gov/search-results-detail/356683","RFA-CA-24-033")</f>
        <v>RFA-CA-24-033</v>
      </c>
      <c r="B509" s="5" t="s">
        <v>1760</v>
      </c>
      <c r="C509" s="5" t="s">
        <v>429</v>
      </c>
      <c r="D509" s="5" t="s">
        <v>430</v>
      </c>
      <c r="E509" s="6">
        <v>45712</v>
      </c>
      <c r="F509" s="8">
        <v>1700000</v>
      </c>
      <c r="G509" s="8" t="s">
        <v>8</v>
      </c>
      <c r="H509" s="5"/>
      <c r="I509" s="5" t="s">
        <v>1761</v>
      </c>
      <c r="J509" s="5" t="s">
        <v>1762</v>
      </c>
    </row>
    <row r="510" spans="1:10" ht="216" x14ac:dyDescent="0.3">
      <c r="A510" s="5" t="str">
        <f>HYPERLINK("https://grants.gov/search-results-detail/356684","RFA-CA-24-034")</f>
        <v>RFA-CA-24-034</v>
      </c>
      <c r="B510" s="5" t="s">
        <v>1768</v>
      </c>
      <c r="C510" s="5" t="s">
        <v>429</v>
      </c>
      <c r="D510" s="5" t="s">
        <v>430</v>
      </c>
      <c r="E510" s="6">
        <v>45712</v>
      </c>
      <c r="F510" s="8">
        <v>8140000</v>
      </c>
      <c r="G510" s="8" t="s">
        <v>8</v>
      </c>
      <c r="H510" s="5"/>
      <c r="I510" s="5" t="s">
        <v>1769</v>
      </c>
      <c r="J510" s="5" t="s">
        <v>1770</v>
      </c>
    </row>
    <row r="511" spans="1:10" ht="302.39999999999998" x14ac:dyDescent="0.3">
      <c r="A511" s="5" t="str">
        <f>HYPERLINK("https://grants.gov/search-results-detail/356685","RFA-CA-24-035")</f>
        <v>RFA-CA-24-035</v>
      </c>
      <c r="B511" s="5" t="s">
        <v>1771</v>
      </c>
      <c r="C511" s="5" t="s">
        <v>429</v>
      </c>
      <c r="D511" s="5" t="s">
        <v>430</v>
      </c>
      <c r="E511" s="6">
        <v>45712</v>
      </c>
      <c r="F511" s="8">
        <v>850000</v>
      </c>
      <c r="G511" s="8" t="s">
        <v>8</v>
      </c>
      <c r="H511" s="5"/>
      <c r="I511" s="5" t="s">
        <v>1772</v>
      </c>
      <c r="J511" s="5" t="s">
        <v>1773</v>
      </c>
    </row>
    <row r="512" spans="1:10" ht="172.8" x14ac:dyDescent="0.3">
      <c r="A512" s="5" t="str">
        <f>HYPERLINK("https://grants.gov/search-results-detail/356682","RFA-CA-24-032")</f>
        <v>RFA-CA-24-032</v>
      </c>
      <c r="B512" s="5" t="s">
        <v>1774</v>
      </c>
      <c r="C512" s="5" t="s">
        <v>429</v>
      </c>
      <c r="D512" s="5" t="s">
        <v>430</v>
      </c>
      <c r="E512" s="6">
        <v>45712</v>
      </c>
      <c r="F512" s="8" t="s">
        <v>8</v>
      </c>
      <c r="G512" s="8" t="s">
        <v>8</v>
      </c>
      <c r="H512" s="5"/>
      <c r="I512" s="5" t="s">
        <v>1775</v>
      </c>
      <c r="J512" s="5" t="s">
        <v>1776</v>
      </c>
    </row>
    <row r="513" spans="1:10" ht="187.2" x14ac:dyDescent="0.3">
      <c r="A513" s="5" t="str">
        <f>HYPERLINK("https://grants.gov/search-results-detail/356681","RFA-CA-24-030")</f>
        <v>RFA-CA-24-030</v>
      </c>
      <c r="B513" s="5" t="s">
        <v>1777</v>
      </c>
      <c r="C513" s="5" t="s">
        <v>429</v>
      </c>
      <c r="D513" s="5" t="s">
        <v>430</v>
      </c>
      <c r="E513" s="6">
        <v>45712</v>
      </c>
      <c r="F513" s="8" t="s">
        <v>8</v>
      </c>
      <c r="G513" s="8" t="s">
        <v>8</v>
      </c>
      <c r="H513" s="5"/>
      <c r="I513" s="5" t="s">
        <v>1778</v>
      </c>
      <c r="J513" s="5" t="s">
        <v>1779</v>
      </c>
    </row>
    <row r="514" spans="1:10" ht="158.4" x14ac:dyDescent="0.3">
      <c r="A514" s="5" t="str">
        <f>HYPERLINK("https://grants.gov/search-results-detail/356673","RFA-CA-24-031")</f>
        <v>RFA-CA-24-031</v>
      </c>
      <c r="B514" s="5" t="s">
        <v>1780</v>
      </c>
      <c r="C514" s="5" t="s">
        <v>429</v>
      </c>
      <c r="D514" s="5" t="s">
        <v>430</v>
      </c>
      <c r="E514" s="6">
        <v>45712</v>
      </c>
      <c r="F514" s="8" t="s">
        <v>8</v>
      </c>
      <c r="G514" s="8" t="s">
        <v>8</v>
      </c>
      <c r="H514" s="5"/>
      <c r="I514" s="5" t="s">
        <v>1781</v>
      </c>
      <c r="J514" s="5" t="s">
        <v>1782</v>
      </c>
    </row>
    <row r="515" spans="1:10" ht="259.2" x14ac:dyDescent="0.3">
      <c r="A515" s="5" t="str">
        <f>HYPERLINK("https://grants.gov/search-results-detail/340156","PAR-22-144")</f>
        <v>PAR-22-144</v>
      </c>
      <c r="B515" s="5" t="s">
        <v>2422</v>
      </c>
      <c r="C515" s="5" t="s">
        <v>429</v>
      </c>
      <c r="D515" s="5" t="s">
        <v>430</v>
      </c>
      <c r="E515" s="6">
        <v>45712</v>
      </c>
      <c r="F515" s="8" t="s">
        <v>8</v>
      </c>
      <c r="G515" s="8" t="s">
        <v>8</v>
      </c>
      <c r="H515" s="5"/>
      <c r="I515" s="5" t="s">
        <v>2423</v>
      </c>
      <c r="J515" s="5" t="s">
        <v>2424</v>
      </c>
    </row>
    <row r="516" spans="1:10" ht="259.2" x14ac:dyDescent="0.3">
      <c r="A516" s="5" t="str">
        <f>HYPERLINK("https://grants.gov/search-results-detail/340133","PAR-22-143")</f>
        <v>PAR-22-143</v>
      </c>
      <c r="B516" s="5" t="s">
        <v>2425</v>
      </c>
      <c r="C516" s="5" t="s">
        <v>429</v>
      </c>
      <c r="D516" s="5" t="s">
        <v>430</v>
      </c>
      <c r="E516" s="6">
        <v>45712</v>
      </c>
      <c r="F516" s="8" t="s">
        <v>8</v>
      </c>
      <c r="G516" s="8" t="s">
        <v>8</v>
      </c>
      <c r="H516" s="5"/>
      <c r="I516" s="5" t="s">
        <v>2426</v>
      </c>
      <c r="J516" s="5" t="s">
        <v>2427</v>
      </c>
    </row>
    <row r="517" spans="1:10" ht="302.39999999999998" x14ac:dyDescent="0.3">
      <c r="A517" s="5" t="str">
        <f>HYPERLINK("https://grants.gov/search-results-detail/356999","RFA-DA-26-024")</f>
        <v>RFA-DA-26-024</v>
      </c>
      <c r="B517" s="5" t="s">
        <v>1536</v>
      </c>
      <c r="C517" s="5" t="s">
        <v>429</v>
      </c>
      <c r="D517" s="5" t="s">
        <v>430</v>
      </c>
      <c r="E517" s="6">
        <v>45715</v>
      </c>
      <c r="F517" s="8" t="s">
        <v>8</v>
      </c>
      <c r="G517" s="8" t="s">
        <v>8</v>
      </c>
      <c r="H517" s="5"/>
      <c r="I517" s="5" t="s">
        <v>1214</v>
      </c>
      <c r="J517" s="5" t="s">
        <v>1537</v>
      </c>
    </row>
    <row r="518" spans="1:10" ht="302.39999999999998" x14ac:dyDescent="0.3">
      <c r="A518" s="5" t="str">
        <f>HYPERLINK("https://grants.gov/search-results-detail/356814","RFA-RM-24-009")</f>
        <v>RFA-RM-24-009</v>
      </c>
      <c r="B518" s="5" t="s">
        <v>1684</v>
      </c>
      <c r="C518" s="5" t="s">
        <v>429</v>
      </c>
      <c r="D518" s="5" t="s">
        <v>430</v>
      </c>
      <c r="E518" s="6">
        <v>45715</v>
      </c>
      <c r="F518" s="8">
        <v>350000</v>
      </c>
      <c r="G518" s="8" t="s">
        <v>8</v>
      </c>
      <c r="H518" s="5"/>
      <c r="I518" s="5" t="s">
        <v>1685</v>
      </c>
      <c r="J518" s="5" t="s">
        <v>1686</v>
      </c>
    </row>
    <row r="519" spans="1:10" ht="230.4" x14ac:dyDescent="0.3">
      <c r="A519" s="5" t="str">
        <f>HYPERLINK("https://grants.gov/search-results-detail/357666","RFA-NR-25-003")</f>
        <v>RFA-NR-25-003</v>
      </c>
      <c r="B519" s="5" t="s">
        <v>900</v>
      </c>
      <c r="C519" s="5" t="s">
        <v>429</v>
      </c>
      <c r="D519" s="5" t="s">
        <v>430</v>
      </c>
      <c r="E519" s="6">
        <v>45716</v>
      </c>
      <c r="F519" s="8">
        <v>500000</v>
      </c>
      <c r="G519" s="8" t="s">
        <v>8</v>
      </c>
      <c r="H519" s="5"/>
      <c r="I519" s="5" t="s">
        <v>901</v>
      </c>
      <c r="J519" s="5" t="s">
        <v>902</v>
      </c>
    </row>
    <row r="520" spans="1:10" ht="302.39999999999998" x14ac:dyDescent="0.3">
      <c r="A520" s="5" t="str">
        <f>HYPERLINK("https://grants.gov/search-results-detail/357631","RFA-RM-24-010")</f>
        <v>RFA-RM-24-010</v>
      </c>
      <c r="B520" s="5" t="s">
        <v>942</v>
      </c>
      <c r="C520" s="5" t="s">
        <v>429</v>
      </c>
      <c r="D520" s="5" t="s">
        <v>430</v>
      </c>
      <c r="E520" s="6">
        <v>45716</v>
      </c>
      <c r="F520" s="8" t="s">
        <v>8</v>
      </c>
      <c r="G520" s="8" t="s">
        <v>8</v>
      </c>
      <c r="H520" s="5"/>
      <c r="I520" s="5" t="s">
        <v>943</v>
      </c>
      <c r="J520" s="5" t="s">
        <v>944</v>
      </c>
    </row>
    <row r="521" spans="1:10" ht="244.8" x14ac:dyDescent="0.3">
      <c r="A521" s="5" t="str">
        <f>HYPERLINK("https://grants.gov/search-results-detail/357660","RFA-AG-25-001")</f>
        <v>RFA-AG-25-001</v>
      </c>
      <c r="B521" s="5" t="s">
        <v>962</v>
      </c>
      <c r="C521" s="5" t="s">
        <v>429</v>
      </c>
      <c r="D521" s="5" t="s">
        <v>430</v>
      </c>
      <c r="E521" s="6">
        <v>45716</v>
      </c>
      <c r="F521" s="8" t="s">
        <v>8</v>
      </c>
      <c r="G521" s="8" t="s">
        <v>8</v>
      </c>
      <c r="H521" s="5"/>
      <c r="I521" s="5" t="s">
        <v>963</v>
      </c>
      <c r="J521" s="5" t="s">
        <v>964</v>
      </c>
    </row>
    <row r="522" spans="1:10" ht="230.4" x14ac:dyDescent="0.3">
      <c r="A522" s="5" t="str">
        <f>HYPERLINK("https://grants.gov/search-results-detail/357270","PAR-25-186")</f>
        <v>PAR-25-186</v>
      </c>
      <c r="B522" s="5" t="s">
        <v>1338</v>
      </c>
      <c r="C522" s="5" t="s">
        <v>429</v>
      </c>
      <c r="D522" s="5" t="s">
        <v>430</v>
      </c>
      <c r="E522" s="6">
        <v>45716</v>
      </c>
      <c r="F522" s="8" t="s">
        <v>8</v>
      </c>
      <c r="G522" s="8" t="s">
        <v>8</v>
      </c>
      <c r="H522" s="5"/>
      <c r="I522" s="5" t="s">
        <v>1339</v>
      </c>
      <c r="J522" s="5" t="s">
        <v>1340</v>
      </c>
    </row>
    <row r="523" spans="1:10" ht="187.2" x14ac:dyDescent="0.3">
      <c r="A523" s="5" t="str">
        <f>HYPERLINK("https://grants.gov/search-results-detail/357233","PAR-25-275")</f>
        <v>PAR-25-275</v>
      </c>
      <c r="B523" s="5" t="s">
        <v>1414</v>
      </c>
      <c r="C523" s="5" t="s">
        <v>429</v>
      </c>
      <c r="D523" s="5" t="s">
        <v>430</v>
      </c>
      <c r="E523" s="6">
        <v>45716</v>
      </c>
      <c r="F523" s="8" t="s">
        <v>8</v>
      </c>
      <c r="G523" s="8" t="s">
        <v>8</v>
      </c>
      <c r="H523" s="5"/>
      <c r="I523" s="5" t="s">
        <v>1211</v>
      </c>
      <c r="J523" s="5" t="s">
        <v>1415</v>
      </c>
    </row>
    <row r="524" spans="1:10" ht="158.4" x14ac:dyDescent="0.3">
      <c r="A524" s="5" t="str">
        <f>HYPERLINK("https://grants.gov/search-results-detail/357086","RFA-MD-25-001")</f>
        <v>RFA-MD-25-001</v>
      </c>
      <c r="B524" s="5" t="s">
        <v>1502</v>
      </c>
      <c r="C524" s="5" t="s">
        <v>429</v>
      </c>
      <c r="D524" s="5" t="s">
        <v>430</v>
      </c>
      <c r="E524" s="6">
        <v>45716</v>
      </c>
      <c r="F524" s="8">
        <v>250000</v>
      </c>
      <c r="G524" s="8" t="s">
        <v>8</v>
      </c>
      <c r="H524" s="5"/>
      <c r="I524" s="5" t="s">
        <v>1503</v>
      </c>
      <c r="J524" s="5" t="s">
        <v>1504</v>
      </c>
    </row>
    <row r="525" spans="1:10" ht="288" x14ac:dyDescent="0.3">
      <c r="A525" s="5" t="str">
        <f>HYPERLINK("https://grants.gov/search-results-detail/343319","PAR-22-233")</f>
        <v>PAR-22-233</v>
      </c>
      <c r="B525" s="5" t="s">
        <v>2389</v>
      </c>
      <c r="C525" s="5" t="s">
        <v>429</v>
      </c>
      <c r="D525" s="5" t="s">
        <v>430</v>
      </c>
      <c r="E525" s="6">
        <v>45718</v>
      </c>
      <c r="F525" s="8" t="s">
        <v>8</v>
      </c>
      <c r="G525" s="8" t="s">
        <v>8</v>
      </c>
      <c r="H525" s="5"/>
      <c r="I525" s="5" t="s">
        <v>2390</v>
      </c>
      <c r="J525" s="5" t="s">
        <v>2391</v>
      </c>
    </row>
    <row r="526" spans="1:10" ht="230.4" x14ac:dyDescent="0.3">
      <c r="A526" s="5" t="str">
        <f>HYPERLINK("https://grants.gov/search-results-detail/357942","RFA-EY-25-002")</f>
        <v>RFA-EY-25-002</v>
      </c>
      <c r="B526" s="5" t="s">
        <v>695</v>
      </c>
      <c r="C526" s="5" t="s">
        <v>429</v>
      </c>
      <c r="D526" s="5" t="s">
        <v>430</v>
      </c>
      <c r="E526" s="6">
        <v>45719</v>
      </c>
      <c r="F526" s="8">
        <v>1000000</v>
      </c>
      <c r="G526" s="8" t="s">
        <v>8</v>
      </c>
      <c r="H526" s="5"/>
      <c r="I526" s="5" t="s">
        <v>696</v>
      </c>
      <c r="J526" s="5" t="s">
        <v>697</v>
      </c>
    </row>
    <row r="527" spans="1:10" ht="201.6" x14ac:dyDescent="0.3">
      <c r="A527" s="5" t="str">
        <f>HYPERLINK("https://grants.gov/search-results-detail/357569","RFA-HG-25-007")</f>
        <v>RFA-HG-25-007</v>
      </c>
      <c r="B527" s="5" t="s">
        <v>1021</v>
      </c>
      <c r="C527" s="5" t="s">
        <v>429</v>
      </c>
      <c r="D527" s="5" t="s">
        <v>430</v>
      </c>
      <c r="E527" s="6">
        <v>45719</v>
      </c>
      <c r="F527" s="8">
        <v>400000</v>
      </c>
      <c r="G527" s="8" t="s">
        <v>8</v>
      </c>
      <c r="H527" s="5"/>
      <c r="I527" s="5" t="s">
        <v>1022</v>
      </c>
      <c r="J527" s="5" t="s">
        <v>1023</v>
      </c>
    </row>
    <row r="528" spans="1:10" ht="172.8" x14ac:dyDescent="0.3">
      <c r="A528" s="5" t="str">
        <f>HYPERLINK("https://grants.gov/search-results-detail/357477","RFA-RM-24-012")</f>
        <v>RFA-RM-24-012</v>
      </c>
      <c r="B528" s="5" t="s">
        <v>1233</v>
      </c>
      <c r="C528" s="5" t="s">
        <v>429</v>
      </c>
      <c r="D528" s="5" t="s">
        <v>430</v>
      </c>
      <c r="E528" s="6">
        <v>45723</v>
      </c>
      <c r="F528" s="8" t="s">
        <v>8</v>
      </c>
      <c r="G528" s="8" t="s">
        <v>8</v>
      </c>
      <c r="H528" s="5"/>
      <c r="I528" s="5" t="s">
        <v>1234</v>
      </c>
      <c r="J528" s="5" t="s">
        <v>1235</v>
      </c>
    </row>
    <row r="529" spans="1:10" ht="302.39999999999998" x14ac:dyDescent="0.3">
      <c r="A529" s="5" t="str">
        <f>HYPERLINK("https://grants.gov/search-results-detail/358091","RFA-NR-25-004")</f>
        <v>RFA-NR-25-004</v>
      </c>
      <c r="B529" s="5" t="s">
        <v>517</v>
      </c>
      <c r="C529" s="5" t="s">
        <v>429</v>
      </c>
      <c r="D529" s="5" t="s">
        <v>430</v>
      </c>
      <c r="E529" s="6">
        <v>45726</v>
      </c>
      <c r="F529" s="8">
        <v>500000</v>
      </c>
      <c r="G529" s="8" t="s">
        <v>8</v>
      </c>
      <c r="H529" s="5"/>
      <c r="I529" s="5" t="s">
        <v>518</v>
      </c>
      <c r="J529" s="5" t="s">
        <v>519</v>
      </c>
    </row>
    <row r="530" spans="1:10" ht="288" x14ac:dyDescent="0.3">
      <c r="A530" s="5" t="str">
        <f>HYPERLINK("https://grants.gov/search-results-detail/358043","RFA-RM-24-013")</f>
        <v>RFA-RM-24-013</v>
      </c>
      <c r="B530" s="5" t="s">
        <v>545</v>
      </c>
      <c r="C530" s="5" t="s">
        <v>429</v>
      </c>
      <c r="D530" s="5" t="s">
        <v>430</v>
      </c>
      <c r="E530" s="6">
        <v>45726</v>
      </c>
      <c r="F530" s="8" t="s">
        <v>8</v>
      </c>
      <c r="G530" s="8" t="s">
        <v>8</v>
      </c>
      <c r="H530" s="5">
        <v>1</v>
      </c>
      <c r="I530" s="5" t="s">
        <v>546</v>
      </c>
      <c r="J530" s="5" t="s">
        <v>547</v>
      </c>
    </row>
    <row r="531" spans="1:10" ht="331.2" x14ac:dyDescent="0.3">
      <c r="A531" s="5" t="str">
        <f>HYPERLINK("https://grants.gov/search-results-detail/357066","PAR-25-054")</f>
        <v>PAR-25-054</v>
      </c>
      <c r="B531" s="5" t="s">
        <v>1520</v>
      </c>
      <c r="C531" s="5" t="s">
        <v>429</v>
      </c>
      <c r="D531" s="5" t="s">
        <v>430</v>
      </c>
      <c r="E531" s="6">
        <v>45726</v>
      </c>
      <c r="F531" s="8" t="s">
        <v>8</v>
      </c>
      <c r="G531" s="8" t="s">
        <v>8</v>
      </c>
      <c r="H531" s="5"/>
      <c r="I531" s="5" t="s">
        <v>1342</v>
      </c>
      <c r="J531" s="5" t="s">
        <v>1521</v>
      </c>
    </row>
    <row r="532" spans="1:10" ht="273.60000000000002" x14ac:dyDescent="0.3">
      <c r="A532" s="5" t="str">
        <f>HYPERLINK("https://grants.gov/search-results-detail/344927","RFA-NS-22-023")</f>
        <v>RFA-NS-22-023</v>
      </c>
      <c r="B532" s="5" t="s">
        <v>2332</v>
      </c>
      <c r="C532" s="5" t="s">
        <v>429</v>
      </c>
      <c r="D532" s="5" t="s">
        <v>430</v>
      </c>
      <c r="E532" s="6">
        <v>45727</v>
      </c>
      <c r="F532" s="8" t="s">
        <v>8</v>
      </c>
      <c r="G532" s="8" t="s">
        <v>8</v>
      </c>
      <c r="H532" s="5"/>
      <c r="I532" s="5" t="s">
        <v>2333</v>
      </c>
      <c r="J532" s="5" t="s">
        <v>2334</v>
      </c>
    </row>
    <row r="533" spans="1:10" ht="374.4" x14ac:dyDescent="0.3">
      <c r="A533" s="5" t="str">
        <f>HYPERLINK("https://grants.gov/search-results-detail/344929","RFA-NS-22-025")</f>
        <v>RFA-NS-22-025</v>
      </c>
      <c r="B533" s="5" t="s">
        <v>2338</v>
      </c>
      <c r="C533" s="5" t="s">
        <v>429</v>
      </c>
      <c r="D533" s="5" t="s">
        <v>430</v>
      </c>
      <c r="E533" s="6">
        <v>45727</v>
      </c>
      <c r="F533" s="8" t="s">
        <v>8</v>
      </c>
      <c r="G533" s="8" t="s">
        <v>8</v>
      </c>
      <c r="H533" s="5"/>
      <c r="I533" s="5" t="s">
        <v>2339</v>
      </c>
      <c r="J533" s="5" t="s">
        <v>2340</v>
      </c>
    </row>
    <row r="534" spans="1:10" ht="273.60000000000002" x14ac:dyDescent="0.3">
      <c r="A534" s="5" t="str">
        <f>HYPERLINK("https://grants.gov/search-results-detail/344926","RFA-NS-22-022")</f>
        <v>RFA-NS-22-022</v>
      </c>
      <c r="B534" s="5" t="s">
        <v>2341</v>
      </c>
      <c r="C534" s="5" t="s">
        <v>429</v>
      </c>
      <c r="D534" s="5" t="s">
        <v>430</v>
      </c>
      <c r="E534" s="6">
        <v>45727</v>
      </c>
      <c r="F534" s="8" t="s">
        <v>8</v>
      </c>
      <c r="G534" s="8" t="s">
        <v>8</v>
      </c>
      <c r="H534" s="5"/>
      <c r="I534" s="5" t="s">
        <v>2342</v>
      </c>
      <c r="J534" s="5" t="s">
        <v>2334</v>
      </c>
    </row>
    <row r="535" spans="1:10" ht="345.6" x14ac:dyDescent="0.3">
      <c r="A535" s="5" t="str">
        <f>HYPERLINK("https://grants.gov/search-results-detail/344928","RFA-NS-22-024")</f>
        <v>RFA-NS-22-024</v>
      </c>
      <c r="B535" s="5" t="s">
        <v>2343</v>
      </c>
      <c r="C535" s="5" t="s">
        <v>429</v>
      </c>
      <c r="D535" s="5" t="s">
        <v>430</v>
      </c>
      <c r="E535" s="6">
        <v>45727</v>
      </c>
      <c r="F535" s="8" t="s">
        <v>8</v>
      </c>
      <c r="G535" s="8" t="s">
        <v>8</v>
      </c>
      <c r="H535" s="5"/>
      <c r="I535" s="5" t="s">
        <v>2344</v>
      </c>
      <c r="J535" s="5" t="s">
        <v>2345</v>
      </c>
    </row>
    <row r="536" spans="1:10" ht="187.2" x14ac:dyDescent="0.3">
      <c r="A536" s="5" t="str">
        <f>HYPERLINK("https://grants.gov/search-results-detail/357495","RFA-DA-26-004")</f>
        <v>RFA-DA-26-004</v>
      </c>
      <c r="B536" s="5" t="s">
        <v>1210</v>
      </c>
      <c r="C536" s="5" t="s">
        <v>429</v>
      </c>
      <c r="D536" s="5" t="s">
        <v>430</v>
      </c>
      <c r="E536" s="6">
        <v>45728</v>
      </c>
      <c r="F536" s="8">
        <v>225000</v>
      </c>
      <c r="G536" s="8" t="s">
        <v>8</v>
      </c>
      <c r="H536" s="5"/>
      <c r="I536" s="5" t="s">
        <v>1211</v>
      </c>
      <c r="J536" s="5" t="s">
        <v>1212</v>
      </c>
    </row>
    <row r="537" spans="1:10" ht="187.2" x14ac:dyDescent="0.3">
      <c r="A537" s="5" t="str">
        <f>HYPERLINK("https://grants.gov/search-results-detail/357494","RFA-DA-26-003")</f>
        <v>RFA-DA-26-003</v>
      </c>
      <c r="B537" s="5" t="s">
        <v>1213</v>
      </c>
      <c r="C537" s="5" t="s">
        <v>429</v>
      </c>
      <c r="D537" s="5" t="s">
        <v>430</v>
      </c>
      <c r="E537" s="6">
        <v>45728</v>
      </c>
      <c r="F537" s="8">
        <v>500000</v>
      </c>
      <c r="G537" s="8" t="s">
        <v>8</v>
      </c>
      <c r="H537" s="5"/>
      <c r="I537" s="5" t="s">
        <v>1214</v>
      </c>
      <c r="J537" s="5" t="s">
        <v>1212</v>
      </c>
    </row>
    <row r="538" spans="1:10" ht="216" x14ac:dyDescent="0.3">
      <c r="A538" s="5" t="str">
        <f>HYPERLINK("https://grants.gov/search-results-detail/356439","RFA-AI-24-023")</f>
        <v>RFA-AI-24-023</v>
      </c>
      <c r="B538" s="5" t="s">
        <v>1877</v>
      </c>
      <c r="C538" s="5" t="s">
        <v>429</v>
      </c>
      <c r="D538" s="5" t="s">
        <v>430</v>
      </c>
      <c r="E538" s="6">
        <v>45728</v>
      </c>
      <c r="F538" s="8">
        <v>400000</v>
      </c>
      <c r="G538" s="8" t="s">
        <v>8</v>
      </c>
      <c r="H538" s="5"/>
      <c r="I538" s="5" t="s">
        <v>1878</v>
      </c>
      <c r="J538" s="5" t="s">
        <v>1879</v>
      </c>
    </row>
    <row r="539" spans="1:10" ht="216" x14ac:dyDescent="0.3">
      <c r="A539" s="5" t="str">
        <f>HYPERLINK("https://grants.gov/search-results-detail/357333","RFA-AI-24-076")</f>
        <v>RFA-AI-24-076</v>
      </c>
      <c r="B539" s="5" t="s">
        <v>1304</v>
      </c>
      <c r="C539" s="5" t="s">
        <v>429</v>
      </c>
      <c r="D539" s="5" t="s">
        <v>430</v>
      </c>
      <c r="E539" s="6">
        <v>45729</v>
      </c>
      <c r="F539" s="8" t="s">
        <v>8</v>
      </c>
      <c r="G539" s="8" t="s">
        <v>8</v>
      </c>
      <c r="H539" s="5"/>
      <c r="I539" s="5" t="s">
        <v>1305</v>
      </c>
      <c r="J539" s="5" t="s">
        <v>1306</v>
      </c>
    </row>
    <row r="540" spans="1:10" ht="172.8" x14ac:dyDescent="0.3">
      <c r="A540" s="5" t="str">
        <f>HYPERLINK("https://grants.gov/search-results-detail/356892","RFA-DA-25-068")</f>
        <v>RFA-DA-25-068</v>
      </c>
      <c r="B540" s="5" t="s">
        <v>1592</v>
      </c>
      <c r="C540" s="5" t="s">
        <v>429</v>
      </c>
      <c r="D540" s="5" t="s">
        <v>430</v>
      </c>
      <c r="E540" s="6">
        <v>45729</v>
      </c>
      <c r="F540" s="8">
        <v>500000</v>
      </c>
      <c r="G540" s="8" t="s">
        <v>8</v>
      </c>
      <c r="H540" s="5"/>
      <c r="I540" s="5" t="s">
        <v>1593</v>
      </c>
      <c r="J540" s="5" t="s">
        <v>1594</v>
      </c>
    </row>
    <row r="541" spans="1:10" ht="187.2" x14ac:dyDescent="0.3">
      <c r="A541" s="5" t="str">
        <f>HYPERLINK("https://grants.gov/search-results-detail/356891","RFA-DA-25-069")</f>
        <v>RFA-DA-25-069</v>
      </c>
      <c r="B541" s="5" t="s">
        <v>1595</v>
      </c>
      <c r="C541" s="5" t="s">
        <v>429</v>
      </c>
      <c r="D541" s="5" t="s">
        <v>430</v>
      </c>
      <c r="E541" s="6">
        <v>45729</v>
      </c>
      <c r="F541" s="8">
        <v>500000</v>
      </c>
      <c r="G541" s="8" t="s">
        <v>8</v>
      </c>
      <c r="H541" s="5"/>
      <c r="I541" s="5" t="s">
        <v>1596</v>
      </c>
      <c r="J541" s="5" t="s">
        <v>1594</v>
      </c>
    </row>
    <row r="542" spans="1:10" ht="216" x14ac:dyDescent="0.3">
      <c r="A542" s="5" t="str">
        <f>HYPERLINK("https://grants.gov/search-results-detail/356068","RFA-DA-26-008")</f>
        <v>RFA-DA-26-008</v>
      </c>
      <c r="B542" s="5" t="s">
        <v>1954</v>
      </c>
      <c r="C542" s="5" t="s">
        <v>429</v>
      </c>
      <c r="D542" s="5" t="s">
        <v>430</v>
      </c>
      <c r="E542" s="6">
        <v>45729</v>
      </c>
      <c r="F542" s="8" t="s">
        <v>8</v>
      </c>
      <c r="G542" s="8" t="s">
        <v>8</v>
      </c>
      <c r="H542" s="5"/>
      <c r="I542" s="5" t="s">
        <v>1747</v>
      </c>
      <c r="J542" s="5" t="s">
        <v>1955</v>
      </c>
    </row>
    <row r="543" spans="1:10" ht="216" x14ac:dyDescent="0.3">
      <c r="A543" s="5" t="str">
        <f>HYPERLINK("https://grants.gov/search-results-detail/356067","RFA-DA-26-007")</f>
        <v>RFA-DA-26-007</v>
      </c>
      <c r="B543" s="5" t="s">
        <v>1956</v>
      </c>
      <c r="C543" s="5" t="s">
        <v>429</v>
      </c>
      <c r="D543" s="5" t="s">
        <v>430</v>
      </c>
      <c r="E543" s="6">
        <v>45729</v>
      </c>
      <c r="F543" s="8">
        <v>400000</v>
      </c>
      <c r="G543" s="8" t="s">
        <v>8</v>
      </c>
      <c r="H543" s="5"/>
      <c r="I543" s="5" t="s">
        <v>1305</v>
      </c>
      <c r="J543" s="5" t="s">
        <v>1955</v>
      </c>
    </row>
    <row r="544" spans="1:10" ht="244.8" x14ac:dyDescent="0.3">
      <c r="A544" s="5" t="str">
        <f>HYPERLINK("https://grants.gov/search-results-detail/357598","RFA-AG-25-015")</f>
        <v>RFA-AG-25-015</v>
      </c>
      <c r="B544" s="5" t="s">
        <v>989</v>
      </c>
      <c r="C544" s="5" t="s">
        <v>429</v>
      </c>
      <c r="D544" s="5" t="s">
        <v>430</v>
      </c>
      <c r="E544" s="6">
        <v>45730</v>
      </c>
      <c r="F544" s="8">
        <v>1000000</v>
      </c>
      <c r="G544" s="8" t="s">
        <v>8</v>
      </c>
      <c r="H544" s="5"/>
      <c r="I544" s="5" t="s">
        <v>990</v>
      </c>
      <c r="J544" s="5" t="s">
        <v>991</v>
      </c>
    </row>
    <row r="545" spans="1:10" ht="244.8" x14ac:dyDescent="0.3">
      <c r="A545" s="5" t="str">
        <f>HYPERLINK("https://grants.gov/search-results-detail/344352","PAR-23-033")</f>
        <v>PAR-23-033</v>
      </c>
      <c r="B545" s="5" t="s">
        <v>2365</v>
      </c>
      <c r="C545" s="5" t="s">
        <v>429</v>
      </c>
      <c r="D545" s="5" t="s">
        <v>430</v>
      </c>
      <c r="E545" s="6">
        <v>45730</v>
      </c>
      <c r="F545" s="8">
        <v>3000000</v>
      </c>
      <c r="G545" s="8" t="s">
        <v>8</v>
      </c>
      <c r="H545" s="5"/>
      <c r="I545" s="5" t="s">
        <v>960</v>
      </c>
      <c r="J545" s="5" t="s">
        <v>2366</v>
      </c>
    </row>
    <row r="546" spans="1:10" ht="244.8" x14ac:dyDescent="0.3">
      <c r="A546" s="5" t="str">
        <f>HYPERLINK("https://grants.gov/search-results-detail/342856","RFA-OD-22-014")</f>
        <v>RFA-OD-22-014</v>
      </c>
      <c r="B546" s="5" t="s">
        <v>2395</v>
      </c>
      <c r="C546" s="5" t="s">
        <v>429</v>
      </c>
      <c r="D546" s="5" t="s">
        <v>430</v>
      </c>
      <c r="E546" s="6">
        <v>45730</v>
      </c>
      <c r="F546" s="8" t="s">
        <v>8</v>
      </c>
      <c r="G546" s="8" t="s">
        <v>8</v>
      </c>
      <c r="H546" s="5"/>
      <c r="I546" s="5" t="s">
        <v>2396</v>
      </c>
      <c r="J546" s="5" t="s">
        <v>2397</v>
      </c>
    </row>
    <row r="547" spans="1:10" ht="374.4" x14ac:dyDescent="0.3">
      <c r="A547" s="5" t="str">
        <f>HYPERLINK("https://grants.gov/search-results-detail/358045","PAR-25-335")</f>
        <v>PAR-25-335</v>
      </c>
      <c r="B547" s="5" t="s">
        <v>551</v>
      </c>
      <c r="C547" s="5" t="s">
        <v>429</v>
      </c>
      <c r="D547" s="5" t="s">
        <v>430</v>
      </c>
      <c r="E547" s="6">
        <v>45732</v>
      </c>
      <c r="F547" s="8" t="s">
        <v>8</v>
      </c>
      <c r="G547" s="8" t="s">
        <v>8</v>
      </c>
      <c r="H547" s="5"/>
      <c r="I547" s="5" t="s">
        <v>552</v>
      </c>
      <c r="J547" s="5" t="s">
        <v>553</v>
      </c>
    </row>
    <row r="548" spans="1:10" ht="316.8" x14ac:dyDescent="0.3">
      <c r="A548" s="5" t="str">
        <f>HYPERLINK("https://grants.gov/search-results-detail/358047","PAR-25-363")</f>
        <v>PAR-25-363</v>
      </c>
      <c r="B548" s="5" t="s">
        <v>554</v>
      </c>
      <c r="C548" s="5" t="s">
        <v>429</v>
      </c>
      <c r="D548" s="5" t="s">
        <v>430</v>
      </c>
      <c r="E548" s="6">
        <v>45732</v>
      </c>
      <c r="F548" s="8">
        <v>1000000</v>
      </c>
      <c r="G548" s="8" t="s">
        <v>8</v>
      </c>
      <c r="H548" s="5"/>
      <c r="I548" s="5" t="s">
        <v>555</v>
      </c>
      <c r="J548" s="5" t="s">
        <v>556</v>
      </c>
    </row>
    <row r="549" spans="1:10" ht="244.8" x14ac:dyDescent="0.3">
      <c r="A549" s="5" t="str">
        <f>HYPERLINK("https://grants.gov/search-results-detail/358120","RFA-HL-26-007")</f>
        <v>RFA-HL-26-007</v>
      </c>
      <c r="B549" s="5" t="s">
        <v>467</v>
      </c>
      <c r="C549" s="5" t="s">
        <v>429</v>
      </c>
      <c r="D549" s="5" t="s">
        <v>430</v>
      </c>
      <c r="E549" s="6">
        <v>45734</v>
      </c>
      <c r="F549" s="8">
        <v>4010000</v>
      </c>
      <c r="G549" s="8" t="s">
        <v>8</v>
      </c>
      <c r="H549" s="5"/>
      <c r="I549" s="5" t="s">
        <v>468</v>
      </c>
      <c r="J549" s="5" t="s">
        <v>469</v>
      </c>
    </row>
    <row r="550" spans="1:10" ht="244.8" x14ac:dyDescent="0.3">
      <c r="A550" s="5" t="str">
        <f>HYPERLINK("https://grants.gov/search-results-detail/357743","RFA-DK-25-023")</f>
        <v>RFA-DK-25-023</v>
      </c>
      <c r="B550" s="5" t="s">
        <v>801</v>
      </c>
      <c r="C550" s="5" t="s">
        <v>429</v>
      </c>
      <c r="D550" s="5" t="s">
        <v>430</v>
      </c>
      <c r="E550" s="6">
        <v>45734</v>
      </c>
      <c r="F550" s="8" t="s">
        <v>8</v>
      </c>
      <c r="G550" s="8" t="s">
        <v>8</v>
      </c>
      <c r="H550" s="5">
        <v>1</v>
      </c>
      <c r="I550" s="5" t="s">
        <v>802</v>
      </c>
      <c r="J550" s="5" t="s">
        <v>803</v>
      </c>
    </row>
    <row r="551" spans="1:10" ht="273.60000000000002" x14ac:dyDescent="0.3">
      <c r="A551" s="5" t="str">
        <f>HYPERLINK("https://grants.gov/search-results-detail/357290","RFA-MH-26-111")</f>
        <v>RFA-MH-26-111</v>
      </c>
      <c r="B551" s="5" t="s">
        <v>1341</v>
      </c>
      <c r="C551" s="5" t="s">
        <v>429</v>
      </c>
      <c r="D551" s="5" t="s">
        <v>430</v>
      </c>
      <c r="E551" s="6">
        <v>45734</v>
      </c>
      <c r="F551" s="8" t="s">
        <v>8</v>
      </c>
      <c r="G551" s="8" t="s">
        <v>8</v>
      </c>
      <c r="H551" s="5"/>
      <c r="I551" s="5" t="s">
        <v>1342</v>
      </c>
      <c r="J551" s="5" t="s">
        <v>1343</v>
      </c>
    </row>
    <row r="552" spans="1:10" ht="273.60000000000002" x14ac:dyDescent="0.3">
      <c r="A552" s="5" t="str">
        <f>HYPERLINK("https://grants.gov/search-results-detail/357289","RFA-MH-26-110")</f>
        <v>RFA-MH-26-110</v>
      </c>
      <c r="B552" s="5" t="s">
        <v>1344</v>
      </c>
      <c r="C552" s="5" t="s">
        <v>429</v>
      </c>
      <c r="D552" s="5" t="s">
        <v>430</v>
      </c>
      <c r="E552" s="6">
        <v>45734</v>
      </c>
      <c r="F552" s="8" t="s">
        <v>8</v>
      </c>
      <c r="G552" s="8" t="s">
        <v>8</v>
      </c>
      <c r="H552" s="5"/>
      <c r="I552" s="5" t="s">
        <v>1305</v>
      </c>
      <c r="J552" s="5" t="s">
        <v>1343</v>
      </c>
    </row>
    <row r="553" spans="1:10" ht="288" x14ac:dyDescent="0.3">
      <c r="A553" s="5" t="str">
        <f>HYPERLINK("https://grants.gov/search-results-detail/357549","RFA-HD-26-005")</f>
        <v>RFA-HD-26-005</v>
      </c>
      <c r="B553" s="5" t="s">
        <v>1083</v>
      </c>
      <c r="C553" s="5" t="s">
        <v>429</v>
      </c>
      <c r="D553" s="5" t="s">
        <v>430</v>
      </c>
      <c r="E553" s="6">
        <v>45735</v>
      </c>
      <c r="F553" s="8" t="s">
        <v>8</v>
      </c>
      <c r="G553" s="8" t="s">
        <v>8</v>
      </c>
      <c r="H553" s="5"/>
      <c r="I553" s="5" t="s">
        <v>1084</v>
      </c>
      <c r="J553" s="5" t="s">
        <v>1085</v>
      </c>
    </row>
    <row r="554" spans="1:10" ht="187.2" x14ac:dyDescent="0.3">
      <c r="A554" s="5" t="str">
        <f>HYPERLINK("https://grants.gov/search-results-detail/356716","RFA-DA-25-070")</f>
        <v>RFA-DA-25-070</v>
      </c>
      <c r="B554" s="5" t="s">
        <v>1742</v>
      </c>
      <c r="C554" s="5" t="s">
        <v>429</v>
      </c>
      <c r="D554" s="5" t="s">
        <v>430</v>
      </c>
      <c r="E554" s="6">
        <v>45735</v>
      </c>
      <c r="F554" s="8">
        <v>450000</v>
      </c>
      <c r="G554" s="8" t="s">
        <v>8</v>
      </c>
      <c r="H554" s="5"/>
      <c r="I554" s="5" t="s">
        <v>1191</v>
      </c>
      <c r="J554" s="5" t="s">
        <v>1743</v>
      </c>
    </row>
    <row r="555" spans="1:10" ht="187.2" x14ac:dyDescent="0.3">
      <c r="A555" s="5" t="str">
        <f>HYPERLINK("https://grants.gov/search-results-detail/356719","RFA-DA-25-072")</f>
        <v>RFA-DA-25-072</v>
      </c>
      <c r="B555" s="5" t="s">
        <v>1744</v>
      </c>
      <c r="C555" s="5" t="s">
        <v>429</v>
      </c>
      <c r="D555" s="5" t="s">
        <v>430</v>
      </c>
      <c r="E555" s="6">
        <v>45735</v>
      </c>
      <c r="F555" s="8" t="s">
        <v>8</v>
      </c>
      <c r="G555" s="8" t="s">
        <v>8</v>
      </c>
      <c r="H555" s="5"/>
      <c r="I555" s="5" t="s">
        <v>1745</v>
      </c>
      <c r="J555" s="5" t="s">
        <v>1743</v>
      </c>
    </row>
    <row r="556" spans="1:10" ht="244.8" x14ac:dyDescent="0.3">
      <c r="A556" s="5" t="str">
        <f>HYPERLINK("https://grants.gov/search-results-detail/357768","RFA-DA-25-077")</f>
        <v>RFA-DA-25-077</v>
      </c>
      <c r="B556" s="5" t="s">
        <v>776</v>
      </c>
      <c r="C556" s="5" t="s">
        <v>429</v>
      </c>
      <c r="D556" s="5" t="s">
        <v>430</v>
      </c>
      <c r="E556" s="6">
        <v>45736</v>
      </c>
      <c r="F556" s="8">
        <v>750000</v>
      </c>
      <c r="G556" s="8" t="s">
        <v>8</v>
      </c>
      <c r="H556" s="5">
        <v>12</v>
      </c>
      <c r="I556" s="5" t="s">
        <v>465</v>
      </c>
      <c r="J556" s="5" t="s">
        <v>777</v>
      </c>
    </row>
    <row r="557" spans="1:10" ht="259.2" x14ac:dyDescent="0.3">
      <c r="A557" s="5" t="str">
        <f>HYPERLINK("https://grants.gov/search-results-detail/357770","RFA-DA-25-078")</f>
        <v>RFA-DA-25-078</v>
      </c>
      <c r="B557" s="5" t="s">
        <v>778</v>
      </c>
      <c r="C557" s="5" t="s">
        <v>429</v>
      </c>
      <c r="D557" s="5" t="s">
        <v>430</v>
      </c>
      <c r="E557" s="6">
        <v>45736</v>
      </c>
      <c r="F557" s="8" t="s">
        <v>8</v>
      </c>
      <c r="G557" s="8" t="s">
        <v>8</v>
      </c>
      <c r="H557" s="5">
        <v>12</v>
      </c>
      <c r="I557" s="5" t="s">
        <v>779</v>
      </c>
      <c r="J557" s="5" t="s">
        <v>780</v>
      </c>
    </row>
    <row r="558" spans="1:10" ht="187.2" x14ac:dyDescent="0.3">
      <c r="A558" s="5" t="str">
        <f>HYPERLINK("https://grants.gov/search-results-detail/356438","RFA-DK-25-021")</f>
        <v>RFA-DK-25-021</v>
      </c>
      <c r="B558" s="5" t="s">
        <v>1882</v>
      </c>
      <c r="C558" s="5" t="s">
        <v>429</v>
      </c>
      <c r="D558" s="5" t="s">
        <v>430</v>
      </c>
      <c r="E558" s="6">
        <v>45736</v>
      </c>
      <c r="F558" s="8">
        <v>500000</v>
      </c>
      <c r="G558" s="8" t="s">
        <v>8</v>
      </c>
      <c r="H558" s="5"/>
      <c r="I558" s="5" t="s">
        <v>1305</v>
      </c>
      <c r="J558" s="5" t="s">
        <v>1883</v>
      </c>
    </row>
    <row r="559" spans="1:10" ht="409.6" x14ac:dyDescent="0.3">
      <c r="A559" s="5" t="str">
        <f>HYPERLINK("https://grants.gov/search-results-detail/357300","RFA-NS-25-027")</f>
        <v>RFA-NS-25-027</v>
      </c>
      <c r="B559" s="5" t="s">
        <v>1345</v>
      </c>
      <c r="C559" s="5" t="s">
        <v>429</v>
      </c>
      <c r="D559" s="5" t="s">
        <v>430</v>
      </c>
      <c r="E559" s="6">
        <v>45741</v>
      </c>
      <c r="F559" s="8" t="s">
        <v>8</v>
      </c>
      <c r="G559" s="8" t="s">
        <v>8</v>
      </c>
      <c r="H559" s="5"/>
      <c r="I559" s="5" t="s">
        <v>1346</v>
      </c>
      <c r="J559" s="5" t="s">
        <v>1347</v>
      </c>
    </row>
    <row r="560" spans="1:10" ht="187.2" x14ac:dyDescent="0.3">
      <c r="A560" s="5" t="str">
        <f>HYPERLINK("https://grants.gov/search-results-detail/356952","RFA-AI-24-074")</f>
        <v>RFA-AI-24-074</v>
      </c>
      <c r="B560" s="5" t="s">
        <v>1563</v>
      </c>
      <c r="C560" s="5" t="s">
        <v>429</v>
      </c>
      <c r="D560" s="5" t="s">
        <v>430</v>
      </c>
      <c r="E560" s="6">
        <v>45742</v>
      </c>
      <c r="F560" s="8">
        <v>1500000</v>
      </c>
      <c r="G560" s="8" t="s">
        <v>8</v>
      </c>
      <c r="H560" s="5"/>
      <c r="I560" s="5" t="s">
        <v>1564</v>
      </c>
      <c r="J560" s="5" t="s">
        <v>1565</v>
      </c>
    </row>
    <row r="561" spans="1:10" ht="288" x14ac:dyDescent="0.3">
      <c r="A561" s="5" t="str">
        <f>HYPERLINK("https://grants.gov/search-results-detail/358119","RFA-MH-26-105")</f>
        <v>RFA-MH-26-105</v>
      </c>
      <c r="B561" s="5" t="s">
        <v>428</v>
      </c>
      <c r="C561" s="5" t="s">
        <v>429</v>
      </c>
      <c r="D561" s="5" t="s">
        <v>430</v>
      </c>
      <c r="E561" s="6">
        <v>45743</v>
      </c>
      <c r="F561" s="8">
        <v>750000</v>
      </c>
      <c r="G561" s="8" t="s">
        <v>8</v>
      </c>
      <c r="H561" s="5"/>
      <c r="I561" s="5" t="s">
        <v>431</v>
      </c>
      <c r="J561" s="5" t="s">
        <v>432</v>
      </c>
    </row>
    <row r="562" spans="1:10" ht="288" x14ac:dyDescent="0.3">
      <c r="A562" s="5" t="str">
        <f>HYPERLINK("https://grants.gov/search-results-detail/353256","RFA-HL-26-001")</f>
        <v>RFA-HL-26-001</v>
      </c>
      <c r="B562" s="5" t="s">
        <v>2064</v>
      </c>
      <c r="C562" s="5" t="s">
        <v>429</v>
      </c>
      <c r="D562" s="5" t="s">
        <v>430</v>
      </c>
      <c r="E562" s="6">
        <v>45744</v>
      </c>
      <c r="F562" s="8">
        <v>250000</v>
      </c>
      <c r="G562" s="8" t="s">
        <v>8</v>
      </c>
      <c r="H562" s="5"/>
      <c r="I562" s="5" t="s">
        <v>1761</v>
      </c>
      <c r="J562" s="5" t="s">
        <v>2065</v>
      </c>
    </row>
    <row r="563" spans="1:10" ht="115.2" x14ac:dyDescent="0.3">
      <c r="A563" s="5" t="str">
        <f>HYPERLINK("https://grants.gov/search-results-detail/357886","SM-25-014")</f>
        <v>SM-25-014</v>
      </c>
      <c r="B563" s="5" t="s">
        <v>721</v>
      </c>
      <c r="C563" s="5" t="s">
        <v>722</v>
      </c>
      <c r="D563" s="5" t="s">
        <v>723</v>
      </c>
      <c r="E563" s="6">
        <v>45706</v>
      </c>
      <c r="F563" s="8">
        <v>2500000</v>
      </c>
      <c r="G563" s="8">
        <v>0</v>
      </c>
      <c r="H563" s="5">
        <v>1</v>
      </c>
      <c r="I563" s="5" t="s">
        <v>724</v>
      </c>
      <c r="J563" s="5" t="s">
        <v>725</v>
      </c>
    </row>
    <row r="564" spans="1:10" ht="409.6" x14ac:dyDescent="0.3">
      <c r="A564" s="5" t="str">
        <f>HYPERLINK("https://grants.gov/search-results-detail/358126","FR-6900-N-29N")</f>
        <v>FR-6900-N-29N</v>
      </c>
      <c r="B564" s="5" t="s">
        <v>456</v>
      </c>
      <c r="C564" s="5" t="s">
        <v>424</v>
      </c>
      <c r="D564" s="5" t="s">
        <v>425</v>
      </c>
      <c r="E564" s="6">
        <v>45713</v>
      </c>
      <c r="F564" s="8">
        <v>500000</v>
      </c>
      <c r="G564" s="8">
        <v>250000</v>
      </c>
      <c r="H564" s="5">
        <v>1</v>
      </c>
      <c r="I564" s="5" t="s">
        <v>457</v>
      </c>
      <c r="J564" s="5" t="s">
        <v>458</v>
      </c>
    </row>
    <row r="565" spans="1:10" ht="345.6" x14ac:dyDescent="0.3">
      <c r="A565" s="5" t="str">
        <f>HYPERLINK("https://grants.gov/search-results-detail/358117","FR-6900-N-29F")</f>
        <v>FR-6900-N-29F</v>
      </c>
      <c r="B565" s="5" t="s">
        <v>423</v>
      </c>
      <c r="C565" s="5" t="s">
        <v>424</v>
      </c>
      <c r="D565" s="5" t="s">
        <v>425</v>
      </c>
      <c r="E565" s="6">
        <v>45756</v>
      </c>
      <c r="F565" s="8">
        <v>2500000</v>
      </c>
      <c r="G565" s="8">
        <v>250000</v>
      </c>
      <c r="H565" s="5">
        <v>25</v>
      </c>
      <c r="I565" s="5" t="s">
        <v>426</v>
      </c>
      <c r="J565" s="5" t="s">
        <v>427</v>
      </c>
    </row>
    <row r="566" spans="1:10" ht="100.8" x14ac:dyDescent="0.3">
      <c r="A566" s="5" t="str">
        <f>HYPERLINK("https://grants.gov/search-results-detail/355178","NLG-LIBRARIES-FY25")</f>
        <v>NLG-LIBRARIES-FY25</v>
      </c>
      <c r="B566" s="5" t="s">
        <v>1982</v>
      </c>
      <c r="C566" s="5" t="s">
        <v>1983</v>
      </c>
      <c r="D566" s="5" t="s">
        <v>1984</v>
      </c>
      <c r="E566" s="6">
        <v>45726</v>
      </c>
      <c r="F566" s="8">
        <v>1000000</v>
      </c>
      <c r="G566" s="8">
        <v>25000</v>
      </c>
      <c r="H566" s="5">
        <v>45</v>
      </c>
      <c r="I566" s="5" t="s">
        <v>1985</v>
      </c>
      <c r="J566" s="5" t="s">
        <v>1986</v>
      </c>
    </row>
    <row r="567" spans="1:10" ht="115.2" x14ac:dyDescent="0.3">
      <c r="A567" s="5" t="str">
        <f>HYPERLINK("https://grants.gov/search-results-detail/355176","LB21-FY25")</f>
        <v>LB21-FY25</v>
      </c>
      <c r="B567" s="5" t="s">
        <v>1987</v>
      </c>
      <c r="C567" s="5" t="s">
        <v>1983</v>
      </c>
      <c r="D567" s="5" t="s">
        <v>1984</v>
      </c>
      <c r="E567" s="6">
        <v>45726</v>
      </c>
      <c r="F567" s="8">
        <v>1000000</v>
      </c>
      <c r="G567" s="8">
        <v>25000</v>
      </c>
      <c r="H567" s="5">
        <v>45</v>
      </c>
      <c r="I567" s="5" t="s">
        <v>1985</v>
      </c>
      <c r="J567" s="5" t="s">
        <v>1988</v>
      </c>
    </row>
    <row r="568" spans="1:10" ht="28.8" x14ac:dyDescent="0.3">
      <c r="A568" s="5" t="str">
        <f>HYPERLINK("https://grants.gov/search-results-detail/350750","TEST-PTS-UTF-8")</f>
        <v>TEST-PTS-UTF-8</v>
      </c>
      <c r="B568" s="5" t="s">
        <v>2195</v>
      </c>
      <c r="C568" s="5" t="s">
        <v>2196</v>
      </c>
      <c r="D568" s="5" t="s">
        <v>2197</v>
      </c>
      <c r="E568" s="5"/>
      <c r="F568" s="8">
        <v>2</v>
      </c>
      <c r="G568" s="8">
        <v>1</v>
      </c>
      <c r="H568" s="5"/>
      <c r="I568" s="5" t="s">
        <v>2198</v>
      </c>
      <c r="J568" s="5" t="s">
        <v>2199</v>
      </c>
    </row>
    <row r="569" spans="1:10" ht="288" x14ac:dyDescent="0.3">
      <c r="A569" s="5" t="str">
        <f>HYPERLINK("https://grants.gov/search-results-detail/356768","NNH24ZHA003C-EPSCOR")</f>
        <v>NNH24ZHA003C-EPSCOR</v>
      </c>
      <c r="B569" s="5" t="s">
        <v>1715</v>
      </c>
      <c r="C569" s="5" t="s">
        <v>1051</v>
      </c>
      <c r="D569" s="5" t="s">
        <v>1052</v>
      </c>
      <c r="E569" s="6">
        <v>45686</v>
      </c>
      <c r="F569" s="8">
        <v>750000</v>
      </c>
      <c r="G569" s="8">
        <v>0</v>
      </c>
      <c r="H569" s="5">
        <v>15</v>
      </c>
      <c r="I569" s="5" t="s">
        <v>1716</v>
      </c>
      <c r="J569" s="5" t="s">
        <v>1717</v>
      </c>
    </row>
    <row r="570" spans="1:10" ht="288" x14ac:dyDescent="0.3">
      <c r="A570" s="5" t="str">
        <f>HYPERLINK("https://grants.gov/search-results-detail/357111","NNH24ZHA003C-EPSCORR3")</f>
        <v>NNH24ZHA003C-EPSCORR3</v>
      </c>
      <c r="B570" s="5" t="s">
        <v>1477</v>
      </c>
      <c r="C570" s="5" t="s">
        <v>1051</v>
      </c>
      <c r="D570" s="5" t="s">
        <v>1052</v>
      </c>
      <c r="E570" s="6">
        <v>45714</v>
      </c>
      <c r="F570" s="8">
        <v>125000</v>
      </c>
      <c r="G570" s="8">
        <v>0</v>
      </c>
      <c r="H570" s="5">
        <v>30</v>
      </c>
      <c r="I570" s="5" t="s">
        <v>1478</v>
      </c>
      <c r="J570" s="5" t="s">
        <v>1479</v>
      </c>
    </row>
    <row r="571" spans="1:10" ht="360" x14ac:dyDescent="0.3">
      <c r="A571" s="5" t="str">
        <f>HYPERLINK("https://grants.gov/search-results-detail/357538","NNH24ZHA003C-ACEIR")</f>
        <v>NNH24ZHA003C-ACEIR</v>
      </c>
      <c r="B571" s="5" t="s">
        <v>1050</v>
      </c>
      <c r="C571" s="5" t="s">
        <v>1051</v>
      </c>
      <c r="D571" s="5" t="s">
        <v>1052</v>
      </c>
      <c r="E571" s="6">
        <v>45719</v>
      </c>
      <c r="F571" s="8">
        <v>750000</v>
      </c>
      <c r="G571" s="8">
        <v>0</v>
      </c>
      <c r="H571" s="5">
        <v>7</v>
      </c>
      <c r="I571" s="5" t="s">
        <v>1053</v>
      </c>
      <c r="J571" s="5" t="s">
        <v>1054</v>
      </c>
    </row>
    <row r="572" spans="1:10" ht="409.6" x14ac:dyDescent="0.3">
      <c r="A572" s="5" t="str">
        <f>HYPERLINK("https://grants.gov/search-results-detail/318918","NNH19ZHA001C")</f>
        <v>NNH19ZHA001C</v>
      </c>
      <c r="B572" s="5" t="s">
        <v>2633</v>
      </c>
      <c r="C572" s="5" t="s">
        <v>1051</v>
      </c>
      <c r="D572" s="5" t="s">
        <v>1052</v>
      </c>
      <c r="E572" s="5"/>
      <c r="F572" s="8">
        <v>700000</v>
      </c>
      <c r="G572" s="8">
        <v>0</v>
      </c>
      <c r="H572" s="5">
        <v>52</v>
      </c>
      <c r="I572" s="5" t="s">
        <v>2634</v>
      </c>
      <c r="J572" s="5" t="s">
        <v>2635</v>
      </c>
    </row>
    <row r="573" spans="1:10" ht="409.6" x14ac:dyDescent="0.3">
      <c r="A573" s="5" t="str">
        <f>HYPERLINK("https://grants.gov/search-results-detail/300997","NNH18ZHA002N-MUSIC")</f>
        <v>NNH18ZHA002N-MUSIC</v>
      </c>
      <c r="B573" s="5" t="s">
        <v>2701</v>
      </c>
      <c r="C573" s="5" t="s">
        <v>1051</v>
      </c>
      <c r="D573" s="5" t="s">
        <v>1052</v>
      </c>
      <c r="E573" s="5"/>
      <c r="F573" s="8">
        <v>450000</v>
      </c>
      <c r="G573" s="8">
        <v>0</v>
      </c>
      <c r="H573" s="5">
        <v>3</v>
      </c>
      <c r="I573" s="5" t="s">
        <v>2702</v>
      </c>
      <c r="J573" s="5" t="s">
        <v>2703</v>
      </c>
    </row>
    <row r="574" spans="1:10" ht="409.6" x14ac:dyDescent="0.3">
      <c r="A574" s="5" t="str">
        <f>HYPERLINK("https://grants.gov/search-results-detail/357291","NNH24ZDA001N-PSALSA")</f>
        <v>NNH24ZDA001N-PSALSA</v>
      </c>
      <c r="B574" s="5" t="s">
        <v>1377</v>
      </c>
      <c r="C574" s="5" t="s">
        <v>192</v>
      </c>
      <c r="D574" s="5" t="s">
        <v>193</v>
      </c>
      <c r="E574" s="6">
        <v>45672</v>
      </c>
      <c r="F574" s="8" t="s">
        <v>8</v>
      </c>
      <c r="G574" s="8" t="s">
        <v>8</v>
      </c>
      <c r="H574" s="5"/>
      <c r="I574" s="5" t="s">
        <v>194</v>
      </c>
      <c r="J574" s="5" t="s">
        <v>229</v>
      </c>
    </row>
    <row r="575" spans="1:10" ht="409.6" x14ac:dyDescent="0.3">
      <c r="A575" s="5" t="str">
        <f>HYPERLINK("https://grants.gov/search-results-detail/356012","NNH24ZDA001N-HCSI")</f>
        <v>NNH24ZDA001N-HCSI</v>
      </c>
      <c r="B575" s="5" t="s">
        <v>1957</v>
      </c>
      <c r="C575" s="5" t="s">
        <v>192</v>
      </c>
      <c r="D575" s="5" t="s">
        <v>193</v>
      </c>
      <c r="E575" s="6">
        <v>45674</v>
      </c>
      <c r="F575" s="8" t="s">
        <v>8</v>
      </c>
      <c r="G575" s="8" t="s">
        <v>8</v>
      </c>
      <c r="H575" s="5"/>
      <c r="I575" s="5" t="s">
        <v>194</v>
      </c>
      <c r="J575" s="5" t="s">
        <v>1545</v>
      </c>
    </row>
    <row r="576" spans="1:10" ht="409.6" x14ac:dyDescent="0.3">
      <c r="A576" s="5" t="str">
        <f>HYPERLINK("https://grants.gov/search-results-detail/352415","NNH24ZDA001N-HARD")</f>
        <v>NNH24ZDA001N-HARD</v>
      </c>
      <c r="B576" s="5" t="s">
        <v>2139</v>
      </c>
      <c r="C576" s="5" t="s">
        <v>192</v>
      </c>
      <c r="D576" s="5" t="s">
        <v>193</v>
      </c>
      <c r="E576" s="6">
        <v>45680</v>
      </c>
      <c r="F576" s="8" t="s">
        <v>8</v>
      </c>
      <c r="G576" s="8" t="s">
        <v>8</v>
      </c>
      <c r="H576" s="5"/>
      <c r="I576" s="5" t="s">
        <v>194</v>
      </c>
      <c r="J576" s="5" t="s">
        <v>2140</v>
      </c>
    </row>
    <row r="577" spans="1:10" ht="409.6" x14ac:dyDescent="0.3">
      <c r="A577" s="5" t="str">
        <f>HYPERLINK("https://grants.gov/search-results-detail/354441","NNH24ZDA001N-HUSPI")</f>
        <v>NNH24ZDA001N-HUSPI</v>
      </c>
      <c r="B577" s="5" t="s">
        <v>2024</v>
      </c>
      <c r="C577" s="5" t="s">
        <v>192</v>
      </c>
      <c r="D577" s="5" t="s">
        <v>193</v>
      </c>
      <c r="E577" s="6">
        <v>45686</v>
      </c>
      <c r="F577" s="8" t="s">
        <v>8</v>
      </c>
      <c r="G577" s="8" t="s">
        <v>8</v>
      </c>
      <c r="H577" s="5"/>
      <c r="I577" s="5" t="s">
        <v>194</v>
      </c>
      <c r="J577" s="5" t="s">
        <v>229</v>
      </c>
    </row>
    <row r="578" spans="1:10" ht="409.6" x14ac:dyDescent="0.3">
      <c r="A578" s="5" t="str">
        <f>HYPERLINK("https://grants.gov/search-results-detail/352420","NNH24ZDA001N-RTF")</f>
        <v>NNH24ZDA001N-RTF</v>
      </c>
      <c r="B578" s="5" t="s">
        <v>2132</v>
      </c>
      <c r="C578" s="5" t="s">
        <v>192</v>
      </c>
      <c r="D578" s="5" t="s">
        <v>193</v>
      </c>
      <c r="E578" s="6">
        <v>45687</v>
      </c>
      <c r="F578" s="8" t="s">
        <v>8</v>
      </c>
      <c r="G578" s="8" t="s">
        <v>8</v>
      </c>
      <c r="H578" s="5"/>
      <c r="I578" s="5" t="s">
        <v>194</v>
      </c>
      <c r="J578" s="5" t="s">
        <v>2133</v>
      </c>
    </row>
    <row r="579" spans="1:10" ht="409.6" x14ac:dyDescent="0.3">
      <c r="A579" s="5" t="str">
        <f>HYPERLINK("https://grants.gov/search-results-detail/352418","NNH24ZDA001N-APRA")</f>
        <v>NNH24ZDA001N-APRA</v>
      </c>
      <c r="B579" s="5" t="s">
        <v>2137</v>
      </c>
      <c r="C579" s="5" t="s">
        <v>192</v>
      </c>
      <c r="D579" s="5" t="s">
        <v>193</v>
      </c>
      <c r="E579" s="6">
        <v>45687</v>
      </c>
      <c r="F579" s="8" t="s">
        <v>8</v>
      </c>
      <c r="G579" s="8" t="s">
        <v>8</v>
      </c>
      <c r="H579" s="5"/>
      <c r="I579" s="5" t="s">
        <v>194</v>
      </c>
      <c r="J579" s="5" t="s">
        <v>2138</v>
      </c>
    </row>
    <row r="580" spans="1:10" ht="409.6" x14ac:dyDescent="0.3">
      <c r="A580" s="5" t="str">
        <f>HYPERLINK("https://grants.gov/search-results-detail/352419","NNH24ZDA001N-SAT")</f>
        <v>NNH24ZDA001N-SAT</v>
      </c>
      <c r="B580" s="5" t="s">
        <v>2141</v>
      </c>
      <c r="C580" s="5" t="s">
        <v>192</v>
      </c>
      <c r="D580" s="5" t="s">
        <v>193</v>
      </c>
      <c r="E580" s="6">
        <v>45687</v>
      </c>
      <c r="F580" s="8" t="s">
        <v>8</v>
      </c>
      <c r="G580" s="8" t="s">
        <v>8</v>
      </c>
      <c r="H580" s="5"/>
      <c r="I580" s="5" t="s">
        <v>194</v>
      </c>
      <c r="J580" s="5" t="s">
        <v>2142</v>
      </c>
    </row>
    <row r="581" spans="1:10" ht="409.6" x14ac:dyDescent="0.3">
      <c r="A581" s="5" t="str">
        <f>HYPERLINK("https://grants.gov/search-results-detail/357696","NNH24ZDA001N-CESRA")</f>
        <v>NNH24ZDA001N-CESRA</v>
      </c>
      <c r="B581" s="5" t="s">
        <v>845</v>
      </c>
      <c r="C581" s="5" t="s">
        <v>192</v>
      </c>
      <c r="D581" s="5" t="s">
        <v>193</v>
      </c>
      <c r="E581" s="6">
        <v>45688</v>
      </c>
      <c r="F581" s="8" t="s">
        <v>8</v>
      </c>
      <c r="G581" s="8" t="s">
        <v>8</v>
      </c>
      <c r="H581" s="5">
        <v>1</v>
      </c>
      <c r="I581" s="5" t="s">
        <v>194</v>
      </c>
      <c r="J581" s="5" t="s">
        <v>846</v>
      </c>
    </row>
    <row r="582" spans="1:10" ht="409.6" x14ac:dyDescent="0.3">
      <c r="A582" s="5" t="str">
        <f>HYPERLINK("https://grants.gov/search-results-detail/352424","NNH24ZDA001N-HW")</f>
        <v>NNH24ZDA001N-HW</v>
      </c>
      <c r="B582" s="5" t="s">
        <v>2129</v>
      </c>
      <c r="C582" s="5" t="s">
        <v>192</v>
      </c>
      <c r="D582" s="5" t="s">
        <v>193</v>
      </c>
      <c r="E582" s="6">
        <v>45688</v>
      </c>
      <c r="F582" s="8" t="s">
        <v>8</v>
      </c>
      <c r="G582" s="8" t="s">
        <v>8</v>
      </c>
      <c r="H582" s="5"/>
      <c r="I582" s="5" t="s">
        <v>194</v>
      </c>
      <c r="J582" s="5" t="s">
        <v>229</v>
      </c>
    </row>
    <row r="583" spans="1:10" ht="409.6" x14ac:dyDescent="0.3">
      <c r="A583" s="5" t="str">
        <f>HYPERLINK("https://grants.gov/search-results-detail/356427","NNH24ZDA001N-CARBON")</f>
        <v>NNH24ZDA001N-CARBON</v>
      </c>
      <c r="B583" s="5" t="s">
        <v>1880</v>
      </c>
      <c r="C583" s="5" t="s">
        <v>192</v>
      </c>
      <c r="D583" s="5" t="s">
        <v>193</v>
      </c>
      <c r="E583" s="6">
        <v>45691</v>
      </c>
      <c r="F583" s="8" t="s">
        <v>8</v>
      </c>
      <c r="G583" s="8" t="s">
        <v>8</v>
      </c>
      <c r="H583" s="5"/>
      <c r="I583" s="5" t="s">
        <v>194</v>
      </c>
      <c r="J583" s="5" t="s">
        <v>1881</v>
      </c>
    </row>
    <row r="584" spans="1:10" ht="409.6" x14ac:dyDescent="0.3">
      <c r="A584" s="5" t="str">
        <f>HYPERLINK("https://grants.gov/search-results-detail/357835","NNH24ZDA001N-SBR")</f>
        <v>NNH24ZDA001N-SBR</v>
      </c>
      <c r="B584" s="5" t="s">
        <v>228</v>
      </c>
      <c r="C584" s="5" t="s">
        <v>192</v>
      </c>
      <c r="D584" s="5" t="s">
        <v>193</v>
      </c>
      <c r="E584" s="6">
        <v>45692</v>
      </c>
      <c r="F584" s="8" t="s">
        <v>8</v>
      </c>
      <c r="G584" s="8" t="s">
        <v>8</v>
      </c>
      <c r="H584" s="5"/>
      <c r="I584" s="5" t="s">
        <v>194</v>
      </c>
      <c r="J584" s="5" t="s">
        <v>229</v>
      </c>
    </row>
    <row r="585" spans="1:10" ht="409.6" x14ac:dyDescent="0.3">
      <c r="A585" s="5" t="str">
        <f>HYPERLINK("https://grants.gov/search-results-detail/357834","NNH24ZDA001N-PSRS")</f>
        <v>NNH24ZDA001N-PSRS</v>
      </c>
      <c r="B585" s="5" t="s">
        <v>256</v>
      </c>
      <c r="C585" s="5" t="s">
        <v>192</v>
      </c>
      <c r="D585" s="5" t="s">
        <v>193</v>
      </c>
      <c r="E585" s="6">
        <v>45692</v>
      </c>
      <c r="F585" s="8" t="s">
        <v>8</v>
      </c>
      <c r="G585" s="8" t="s">
        <v>8</v>
      </c>
      <c r="H585" s="5"/>
      <c r="I585" s="5" t="s">
        <v>194</v>
      </c>
      <c r="J585" s="5" t="s">
        <v>229</v>
      </c>
    </row>
    <row r="586" spans="1:10" ht="409.6" x14ac:dyDescent="0.3">
      <c r="A586" s="5" t="str">
        <f>HYPERLINK("https://grants.gov/search-results-detail/356721","NNH24ZDA001N-USCAPS")</f>
        <v>NNH24ZDA001N-USCAPS</v>
      </c>
      <c r="B586" s="5" t="s">
        <v>1749</v>
      </c>
      <c r="C586" s="5" t="s">
        <v>192</v>
      </c>
      <c r="D586" s="5" t="s">
        <v>193</v>
      </c>
      <c r="E586" s="6">
        <v>45692</v>
      </c>
      <c r="F586" s="8" t="s">
        <v>8</v>
      </c>
      <c r="G586" s="8" t="s">
        <v>8</v>
      </c>
      <c r="H586" s="5"/>
      <c r="I586" s="5" t="s">
        <v>194</v>
      </c>
      <c r="J586" s="5" t="s">
        <v>1750</v>
      </c>
    </row>
    <row r="587" spans="1:10" ht="409.6" x14ac:dyDescent="0.3">
      <c r="A587" s="5" t="str">
        <f>HYPERLINK("https://grants.gov/search-results-detail/356976","NNH24ZDA001N-FINESST")</f>
        <v>NNH24ZDA001N-FINESST</v>
      </c>
      <c r="B587" s="5" t="s">
        <v>1544</v>
      </c>
      <c r="C587" s="5" t="s">
        <v>192</v>
      </c>
      <c r="D587" s="5" t="s">
        <v>193</v>
      </c>
      <c r="E587" s="6">
        <v>45693</v>
      </c>
      <c r="F587" s="8" t="s">
        <v>8</v>
      </c>
      <c r="G587" s="8" t="s">
        <v>8</v>
      </c>
      <c r="H587" s="5"/>
      <c r="I587" s="5" t="s">
        <v>194</v>
      </c>
      <c r="J587" s="5" t="s">
        <v>1545</v>
      </c>
    </row>
    <row r="588" spans="1:10" ht="409.6" x14ac:dyDescent="0.3">
      <c r="A588" s="5" t="str">
        <f>HYPERLINK("https://grants.gov/search-results-detail/355309","NNH24ZDA001N-PACE")</f>
        <v>NNH24ZDA001N-PACE</v>
      </c>
      <c r="B588" s="5" t="s">
        <v>1993</v>
      </c>
      <c r="C588" s="5" t="s">
        <v>192</v>
      </c>
      <c r="D588" s="5" t="s">
        <v>193</v>
      </c>
      <c r="E588" s="6">
        <v>45695</v>
      </c>
      <c r="F588" s="8" t="s">
        <v>8</v>
      </c>
      <c r="G588" s="8" t="s">
        <v>8</v>
      </c>
      <c r="H588" s="5"/>
      <c r="I588" s="5" t="s">
        <v>194</v>
      </c>
      <c r="J588" s="5" t="s">
        <v>1994</v>
      </c>
    </row>
    <row r="589" spans="1:10" ht="409.6" x14ac:dyDescent="0.3">
      <c r="A589" s="5" t="str">
        <f>HYPERLINK("https://grants.gov/search-results-detail/356738","NNH24ZDA001N-INSPYRE")</f>
        <v>NNH24ZDA001N-INSPYRE</v>
      </c>
      <c r="B589" s="5" t="s">
        <v>1729</v>
      </c>
      <c r="C589" s="5" t="s">
        <v>192</v>
      </c>
      <c r="D589" s="5" t="s">
        <v>193</v>
      </c>
      <c r="E589" s="6">
        <v>45699</v>
      </c>
      <c r="F589" s="8" t="s">
        <v>8</v>
      </c>
      <c r="G589" s="8" t="s">
        <v>8</v>
      </c>
      <c r="H589" s="5"/>
      <c r="I589" s="5" t="s">
        <v>194</v>
      </c>
      <c r="J589" s="5" t="s">
        <v>1730</v>
      </c>
    </row>
    <row r="590" spans="1:10" ht="409.6" x14ac:dyDescent="0.3">
      <c r="A590" s="5" t="str">
        <f>HYPERLINK("https://grants.gov/search-results-detail/355507","NNH24ZDA001N-WFC")</f>
        <v>NNH24ZDA001N-WFC</v>
      </c>
      <c r="B590" s="5" t="s">
        <v>1980</v>
      </c>
      <c r="C590" s="5" t="s">
        <v>192</v>
      </c>
      <c r="D590" s="5" t="s">
        <v>193</v>
      </c>
      <c r="E590" s="6">
        <v>45700</v>
      </c>
      <c r="F590" s="8" t="s">
        <v>8</v>
      </c>
      <c r="G590" s="8" t="s">
        <v>8</v>
      </c>
      <c r="H590" s="5"/>
      <c r="I590" s="5" t="s">
        <v>194</v>
      </c>
      <c r="J590" s="5" t="s">
        <v>1981</v>
      </c>
    </row>
    <row r="591" spans="1:10" ht="409.6" x14ac:dyDescent="0.3">
      <c r="A591" s="5" t="str">
        <f>HYPERLINK("https://grants.gov/search-results-detail/355560","NNH24ZDA001N-ICAR")</f>
        <v>NNH24ZDA001N-ICAR</v>
      </c>
      <c r="B591" s="5" t="s">
        <v>1975</v>
      </c>
      <c r="C591" s="5" t="s">
        <v>192</v>
      </c>
      <c r="D591" s="5" t="s">
        <v>193</v>
      </c>
      <c r="E591" s="6">
        <v>45706</v>
      </c>
      <c r="F591" s="8" t="s">
        <v>8</v>
      </c>
      <c r="G591" s="8" t="s">
        <v>8</v>
      </c>
      <c r="H591" s="5"/>
      <c r="I591" s="5" t="s">
        <v>194</v>
      </c>
      <c r="J591" s="5" t="s">
        <v>1976</v>
      </c>
    </row>
    <row r="592" spans="1:10" ht="409.6" x14ac:dyDescent="0.3">
      <c r="A592" s="5" t="str">
        <f>HYPERLINK("https://grants.gov/search-results-detail/357108","NNH24ZDA001N-NEWS")</f>
        <v>NNH24ZDA001N-NEWS</v>
      </c>
      <c r="B592" s="5" t="s">
        <v>1475</v>
      </c>
      <c r="C592" s="5" t="s">
        <v>192</v>
      </c>
      <c r="D592" s="5" t="s">
        <v>193</v>
      </c>
      <c r="E592" s="6">
        <v>45708</v>
      </c>
      <c r="F592" s="8" t="s">
        <v>8</v>
      </c>
      <c r="G592" s="8" t="s">
        <v>8</v>
      </c>
      <c r="H592" s="5"/>
      <c r="I592" s="5" t="s">
        <v>194</v>
      </c>
      <c r="J592" s="5" t="s">
        <v>1476</v>
      </c>
    </row>
    <row r="593" spans="1:10" ht="409.6" x14ac:dyDescent="0.3">
      <c r="A593" s="5" t="str">
        <f>HYPERLINK("https://grants.gov/search-results-detail/355374","NNH24ZDA001N-EMMP")</f>
        <v>NNH24ZDA001N-EMMP</v>
      </c>
      <c r="B593" s="5" t="s">
        <v>1991</v>
      </c>
      <c r="C593" s="5" t="s">
        <v>192</v>
      </c>
      <c r="D593" s="5" t="s">
        <v>193</v>
      </c>
      <c r="E593" s="6">
        <v>45714</v>
      </c>
      <c r="F593" s="8" t="s">
        <v>8</v>
      </c>
      <c r="G593" s="8" t="s">
        <v>8</v>
      </c>
      <c r="H593" s="5"/>
      <c r="I593" s="5" t="s">
        <v>194</v>
      </c>
      <c r="J593" s="5" t="s">
        <v>1992</v>
      </c>
    </row>
    <row r="594" spans="1:10" ht="409.6" x14ac:dyDescent="0.3">
      <c r="A594" s="5" t="str">
        <f>HYPERLINK("https://grants.gov/search-results-detail/352381","NNH24ZDA001N-LDAP")</f>
        <v>NNH24ZDA001N-LDAP</v>
      </c>
      <c r="B594" s="5" t="s">
        <v>2115</v>
      </c>
      <c r="C594" s="5" t="s">
        <v>192</v>
      </c>
      <c r="D594" s="5" t="s">
        <v>193</v>
      </c>
      <c r="E594" s="6">
        <v>45714</v>
      </c>
      <c r="F594" s="8" t="s">
        <v>8</v>
      </c>
      <c r="G594" s="8" t="s">
        <v>8</v>
      </c>
      <c r="H594" s="5"/>
      <c r="I594" s="5" t="s">
        <v>194</v>
      </c>
      <c r="J594" s="5" t="s">
        <v>229</v>
      </c>
    </row>
    <row r="595" spans="1:10" ht="409.6" x14ac:dyDescent="0.3">
      <c r="A595" s="5" t="str">
        <f>HYPERLINK("https://grants.gov/search-results-detail/352414","NNH24ZDA001N-HTM")</f>
        <v>NNH24ZDA001N-HTM</v>
      </c>
      <c r="B595" s="5" t="s">
        <v>2136</v>
      </c>
      <c r="C595" s="5" t="s">
        <v>192</v>
      </c>
      <c r="D595" s="5" t="s">
        <v>193</v>
      </c>
      <c r="E595" s="6">
        <v>45715</v>
      </c>
      <c r="F595" s="8" t="s">
        <v>8</v>
      </c>
      <c r="G595" s="8" t="s">
        <v>8</v>
      </c>
      <c r="H595" s="5"/>
      <c r="I595" s="5" t="s">
        <v>194</v>
      </c>
      <c r="J595" s="5" t="s">
        <v>1545</v>
      </c>
    </row>
    <row r="596" spans="1:10" ht="409.6" x14ac:dyDescent="0.3">
      <c r="A596" s="5" t="str">
        <f>HYPERLINK("https://grants.gov/search-results-detail/352417","NNH24ZDA001N-ROMAN")</f>
        <v>NNH24ZDA001N-ROMAN</v>
      </c>
      <c r="B596" s="5" t="s">
        <v>2134</v>
      </c>
      <c r="C596" s="5" t="s">
        <v>192</v>
      </c>
      <c r="D596" s="5" t="s">
        <v>193</v>
      </c>
      <c r="E596" s="6">
        <v>45722</v>
      </c>
      <c r="F596" s="8" t="s">
        <v>8</v>
      </c>
      <c r="G596" s="8" t="s">
        <v>8</v>
      </c>
      <c r="H596" s="5"/>
      <c r="I596" s="5" t="s">
        <v>194</v>
      </c>
      <c r="J596" s="5" t="s">
        <v>2135</v>
      </c>
    </row>
    <row r="597" spans="1:10" ht="409.6" x14ac:dyDescent="0.3">
      <c r="A597" s="5" t="str">
        <f>HYPERLINK("https://grants.gov/search-results-detail/357269","NNH24ZDA001N-FFST")</f>
        <v>NNH24ZDA001N-FFST</v>
      </c>
      <c r="B597" s="5" t="s">
        <v>1336</v>
      </c>
      <c r="C597" s="5" t="s">
        <v>192</v>
      </c>
      <c r="D597" s="5" t="s">
        <v>193</v>
      </c>
      <c r="E597" s="6">
        <v>45723</v>
      </c>
      <c r="F597" s="8" t="s">
        <v>8</v>
      </c>
      <c r="G597" s="8" t="s">
        <v>8</v>
      </c>
      <c r="H597" s="5"/>
      <c r="I597" s="5" t="s">
        <v>194</v>
      </c>
      <c r="J597" s="5" t="s">
        <v>1337</v>
      </c>
    </row>
    <row r="598" spans="1:10" ht="409.6" x14ac:dyDescent="0.3">
      <c r="A598" s="5" t="str">
        <f>HYPERLINK("https://grants.gov/search-results-detail/352421","NNH24ZDA001N-PIONEERS")</f>
        <v>NNH24ZDA001N-PIONEERS</v>
      </c>
      <c r="B598" s="5" t="s">
        <v>2130</v>
      </c>
      <c r="C598" s="5" t="s">
        <v>192</v>
      </c>
      <c r="D598" s="5" t="s">
        <v>193</v>
      </c>
      <c r="E598" s="6">
        <v>45729</v>
      </c>
      <c r="F598" s="8" t="s">
        <v>8</v>
      </c>
      <c r="G598" s="8" t="s">
        <v>8</v>
      </c>
      <c r="H598" s="5"/>
      <c r="I598" s="5" t="s">
        <v>194</v>
      </c>
      <c r="J598" s="5" t="s">
        <v>2131</v>
      </c>
    </row>
    <row r="599" spans="1:10" ht="409.6" x14ac:dyDescent="0.3">
      <c r="A599" s="5" t="str">
        <f>HYPERLINK("https://grants.gov/search-results-detail/356273","NNH24ZDA001N-ECON")</f>
        <v>NNH24ZDA001N-ECON</v>
      </c>
      <c r="B599" s="5" t="s">
        <v>1920</v>
      </c>
      <c r="C599" s="5" t="s">
        <v>192</v>
      </c>
      <c r="D599" s="5" t="s">
        <v>193</v>
      </c>
      <c r="E599" s="6">
        <v>45730</v>
      </c>
      <c r="F599" s="8" t="s">
        <v>8</v>
      </c>
      <c r="G599" s="8" t="s">
        <v>8</v>
      </c>
      <c r="H599" s="5"/>
      <c r="I599" s="5" t="s">
        <v>194</v>
      </c>
      <c r="J599" s="5" t="s">
        <v>1921</v>
      </c>
    </row>
    <row r="600" spans="1:10" ht="409.6" x14ac:dyDescent="0.3">
      <c r="A600" s="5" t="str">
        <f>HYPERLINK("https://grants.gov/search-results-detail/357431","NNH24ZDA001N-ECOHYD")</f>
        <v>NNH24ZDA001N-ECOHYD</v>
      </c>
      <c r="B600" s="5" t="s">
        <v>1254</v>
      </c>
      <c r="C600" s="5" t="s">
        <v>192</v>
      </c>
      <c r="D600" s="5" t="s">
        <v>193</v>
      </c>
      <c r="E600" s="6">
        <v>45735</v>
      </c>
      <c r="F600" s="8" t="s">
        <v>8</v>
      </c>
      <c r="G600" s="8" t="s">
        <v>8</v>
      </c>
      <c r="H600" s="5"/>
      <c r="I600" s="5" t="s">
        <v>194</v>
      </c>
      <c r="J600" s="5" t="s">
        <v>1255</v>
      </c>
    </row>
    <row r="601" spans="1:10" ht="409.6" x14ac:dyDescent="0.3">
      <c r="A601" s="5" t="str">
        <f>HYPERLINK("https://grants.gov/search-results-detail/352422","NNH24ZDA001N-LPS")</f>
        <v>NNH24ZDA001N-LPS</v>
      </c>
      <c r="B601" s="5" t="s">
        <v>2122</v>
      </c>
      <c r="C601" s="5" t="s">
        <v>192</v>
      </c>
      <c r="D601" s="5" t="s">
        <v>193</v>
      </c>
      <c r="E601" s="6">
        <v>45736</v>
      </c>
      <c r="F601" s="8" t="s">
        <v>8</v>
      </c>
      <c r="G601" s="8" t="s">
        <v>8</v>
      </c>
      <c r="H601" s="5"/>
      <c r="I601" s="5" t="s">
        <v>194</v>
      </c>
      <c r="J601" s="5" t="s">
        <v>2123</v>
      </c>
    </row>
    <row r="602" spans="1:10" ht="409.6" x14ac:dyDescent="0.3">
      <c r="A602" s="5" t="str">
        <f>HYPERLINK("https://grants.gov/search-results-detail/357709","NNH24ZDA001N-RSIR")</f>
        <v>NNH24ZDA001N-RSIR</v>
      </c>
      <c r="B602" s="5" t="s">
        <v>834</v>
      </c>
      <c r="C602" s="5" t="s">
        <v>192</v>
      </c>
      <c r="D602" s="5" t="s">
        <v>193</v>
      </c>
      <c r="E602" s="6">
        <v>45741</v>
      </c>
      <c r="F602" s="8" t="s">
        <v>8</v>
      </c>
      <c r="G602" s="8" t="s">
        <v>8</v>
      </c>
      <c r="H602" s="5"/>
      <c r="I602" s="5" t="s">
        <v>194</v>
      </c>
      <c r="J602" s="5" t="s">
        <v>835</v>
      </c>
    </row>
    <row r="603" spans="1:10" ht="409.6" x14ac:dyDescent="0.3">
      <c r="A603" s="5" t="str">
        <f>HYPERLINK("https://grants.gov/search-results-detail/354774","NNH24ZDA001N-MSF")</f>
        <v>NNH24ZDA001N-MSF</v>
      </c>
      <c r="B603" s="5" t="s">
        <v>2010</v>
      </c>
      <c r="C603" s="5" t="s">
        <v>192</v>
      </c>
      <c r="D603" s="5" t="s">
        <v>193</v>
      </c>
      <c r="E603" s="6">
        <v>45744</v>
      </c>
      <c r="F603" s="8" t="s">
        <v>8</v>
      </c>
      <c r="G603" s="8" t="s">
        <v>8</v>
      </c>
      <c r="H603" s="5">
        <v>1</v>
      </c>
      <c r="I603" s="5" t="s">
        <v>194</v>
      </c>
      <c r="J603" s="5" t="s">
        <v>2011</v>
      </c>
    </row>
    <row r="604" spans="1:10" ht="409.6" x14ac:dyDescent="0.3">
      <c r="A604" s="5" t="str">
        <f>HYPERLINK("https://grants.gov/search-results-detail/352416","NNH24ZDA001N-HITS")</f>
        <v>NNH24ZDA001N-HITS</v>
      </c>
      <c r="B604" s="5" t="s">
        <v>2105</v>
      </c>
      <c r="C604" s="5" t="s">
        <v>192</v>
      </c>
      <c r="D604" s="5" t="s">
        <v>193</v>
      </c>
      <c r="E604" s="6">
        <v>45744</v>
      </c>
      <c r="F604" s="8" t="s">
        <v>8</v>
      </c>
      <c r="G604" s="8" t="s">
        <v>8</v>
      </c>
      <c r="H604" s="5"/>
      <c r="I604" s="5" t="s">
        <v>194</v>
      </c>
      <c r="J604" s="5" t="s">
        <v>2106</v>
      </c>
    </row>
    <row r="605" spans="1:10" ht="409.6" x14ac:dyDescent="0.3">
      <c r="A605" s="5" t="str">
        <f>HYPERLINK("https://grants.gov/search-results-detail/352390","NNH24ZDA001N-H2O")</f>
        <v>NNH24ZDA001N-H2O</v>
      </c>
      <c r="B605" s="5" t="s">
        <v>2112</v>
      </c>
      <c r="C605" s="5" t="s">
        <v>192</v>
      </c>
      <c r="D605" s="5" t="s">
        <v>193</v>
      </c>
      <c r="E605" s="6">
        <v>45744</v>
      </c>
      <c r="F605" s="8" t="s">
        <v>8</v>
      </c>
      <c r="G605" s="8" t="s">
        <v>8</v>
      </c>
      <c r="H605" s="5"/>
      <c r="I605" s="5" t="s">
        <v>194</v>
      </c>
      <c r="J605" s="5" t="s">
        <v>2106</v>
      </c>
    </row>
    <row r="606" spans="1:10" ht="409.6" x14ac:dyDescent="0.3">
      <c r="A606" s="5" t="str">
        <f>HYPERLINK("https://grants.gov/search-results-detail/352426","NNH24ZDA001N-HPOSS")</f>
        <v>NNH24ZDA001N-HPOSS</v>
      </c>
      <c r="B606" s="5" t="s">
        <v>2113</v>
      </c>
      <c r="C606" s="5" t="s">
        <v>192</v>
      </c>
      <c r="D606" s="5" t="s">
        <v>193</v>
      </c>
      <c r="E606" s="6">
        <v>45744</v>
      </c>
      <c r="F606" s="8" t="s">
        <v>8</v>
      </c>
      <c r="G606" s="8" t="s">
        <v>8</v>
      </c>
      <c r="H606" s="5"/>
      <c r="I606" s="5" t="s">
        <v>194</v>
      </c>
      <c r="J606" s="5" t="s">
        <v>2114</v>
      </c>
    </row>
    <row r="607" spans="1:10" ht="409.6" x14ac:dyDescent="0.3">
      <c r="A607" s="5" t="str">
        <f>HYPERLINK("https://grants.gov/search-results-detail/352387","NNH24ZDA001N-SSO")</f>
        <v>NNH24ZDA001N-SSO</v>
      </c>
      <c r="B607" s="5" t="s">
        <v>2116</v>
      </c>
      <c r="C607" s="5" t="s">
        <v>192</v>
      </c>
      <c r="D607" s="5" t="s">
        <v>193</v>
      </c>
      <c r="E607" s="6">
        <v>45744</v>
      </c>
      <c r="F607" s="8" t="s">
        <v>8</v>
      </c>
      <c r="G607" s="8" t="s">
        <v>8</v>
      </c>
      <c r="H607" s="5"/>
      <c r="I607" s="5" t="s">
        <v>194</v>
      </c>
      <c r="J607" s="5" t="s">
        <v>2106</v>
      </c>
    </row>
    <row r="608" spans="1:10" ht="409.6" x14ac:dyDescent="0.3">
      <c r="A608" s="5" t="str">
        <f>HYPERLINK("https://grants.gov/search-results-detail/352405","NNH24ZDA001N-RRNES")</f>
        <v>NNH24ZDA001N-RRNES</v>
      </c>
      <c r="B608" s="5" t="s">
        <v>2117</v>
      </c>
      <c r="C608" s="5" t="s">
        <v>192</v>
      </c>
      <c r="D608" s="5" t="s">
        <v>193</v>
      </c>
      <c r="E608" s="6">
        <v>45744</v>
      </c>
      <c r="F608" s="8" t="s">
        <v>8</v>
      </c>
      <c r="G608" s="8" t="s">
        <v>8</v>
      </c>
      <c r="H608" s="5"/>
      <c r="I608" s="5" t="s">
        <v>194</v>
      </c>
      <c r="J608" s="5" t="s">
        <v>2106</v>
      </c>
    </row>
    <row r="609" spans="1:10" ht="409.6" x14ac:dyDescent="0.3">
      <c r="A609" s="5" t="str">
        <f>HYPERLINK("https://grants.gov/search-results-detail/352425","NNH24ZDA001N-SOSS")</f>
        <v>NNH24ZDA001N-SOSS</v>
      </c>
      <c r="B609" s="5" t="s">
        <v>2118</v>
      </c>
      <c r="C609" s="5" t="s">
        <v>192</v>
      </c>
      <c r="D609" s="5" t="s">
        <v>193</v>
      </c>
      <c r="E609" s="6">
        <v>45744</v>
      </c>
      <c r="F609" s="8" t="s">
        <v>8</v>
      </c>
      <c r="G609" s="8" t="s">
        <v>8</v>
      </c>
      <c r="H609" s="5"/>
      <c r="I609" s="5" t="s">
        <v>194</v>
      </c>
      <c r="J609" s="5" t="s">
        <v>2119</v>
      </c>
    </row>
    <row r="610" spans="1:10" ht="409.6" x14ac:dyDescent="0.3">
      <c r="A610" s="5" t="str">
        <f>HYPERLINK("https://grants.gov/search-results-detail/352383","NNH24ZDA001N-SSW")</f>
        <v>NNH24ZDA001N-SSW</v>
      </c>
      <c r="B610" s="5" t="s">
        <v>2120</v>
      </c>
      <c r="C610" s="5" t="s">
        <v>192</v>
      </c>
      <c r="D610" s="5" t="s">
        <v>193</v>
      </c>
      <c r="E610" s="6">
        <v>45744</v>
      </c>
      <c r="F610" s="8" t="s">
        <v>8</v>
      </c>
      <c r="G610" s="8" t="s">
        <v>8</v>
      </c>
      <c r="H610" s="5"/>
      <c r="I610" s="5" t="s">
        <v>194</v>
      </c>
      <c r="J610" s="5" t="s">
        <v>2106</v>
      </c>
    </row>
    <row r="611" spans="1:10" ht="409.6" x14ac:dyDescent="0.3">
      <c r="A611" s="5" t="str">
        <f>HYPERLINK("https://grants.gov/search-results-detail/352388","NNH24ZDA001N-PICASSO")</f>
        <v>NNH24ZDA001N-PICASSO</v>
      </c>
      <c r="B611" s="5" t="s">
        <v>2121</v>
      </c>
      <c r="C611" s="5" t="s">
        <v>192</v>
      </c>
      <c r="D611" s="5" t="s">
        <v>193</v>
      </c>
      <c r="E611" s="6">
        <v>45744</v>
      </c>
      <c r="F611" s="8" t="s">
        <v>8</v>
      </c>
      <c r="G611" s="8" t="s">
        <v>8</v>
      </c>
      <c r="H611" s="5"/>
      <c r="I611" s="5" t="s">
        <v>194</v>
      </c>
      <c r="J611" s="5" t="s">
        <v>2114</v>
      </c>
    </row>
    <row r="612" spans="1:10" ht="409.6" x14ac:dyDescent="0.3">
      <c r="A612" s="5" t="str">
        <f>HYPERLINK("https://grants.gov/search-results-detail/352382","NNH24ZDA001N-EW")</f>
        <v>NNH24ZDA001N-EW</v>
      </c>
      <c r="B612" s="5" t="s">
        <v>2124</v>
      </c>
      <c r="C612" s="5" t="s">
        <v>192</v>
      </c>
      <c r="D612" s="5" t="s">
        <v>193</v>
      </c>
      <c r="E612" s="6">
        <v>45744</v>
      </c>
      <c r="F612" s="8" t="s">
        <v>8</v>
      </c>
      <c r="G612" s="8" t="s">
        <v>8</v>
      </c>
      <c r="H612" s="5"/>
      <c r="I612" s="5" t="s">
        <v>194</v>
      </c>
      <c r="J612" s="5" t="s">
        <v>2106</v>
      </c>
    </row>
    <row r="613" spans="1:10" ht="409.6" x14ac:dyDescent="0.3">
      <c r="A613" s="5" t="str">
        <f>HYPERLINK("https://grants.gov/search-results-detail/352389","NNH24ZDA001N-LARS")</f>
        <v>NNH24ZDA001N-LARS</v>
      </c>
      <c r="B613" s="5" t="s">
        <v>2125</v>
      </c>
      <c r="C613" s="5" t="s">
        <v>192</v>
      </c>
      <c r="D613" s="5" t="s">
        <v>193</v>
      </c>
      <c r="E613" s="6">
        <v>45744</v>
      </c>
      <c r="F613" s="8" t="s">
        <v>8</v>
      </c>
      <c r="G613" s="8" t="s">
        <v>8</v>
      </c>
      <c r="H613" s="5"/>
      <c r="I613" s="5" t="s">
        <v>194</v>
      </c>
      <c r="J613" s="5" t="s">
        <v>2119</v>
      </c>
    </row>
    <row r="614" spans="1:10" ht="409.6" x14ac:dyDescent="0.3">
      <c r="A614" s="5" t="str">
        <f>HYPERLINK("https://grants.gov/search-results-detail/352385","NNH24ZDA001N-PDART")</f>
        <v>NNH24ZDA001N-PDART</v>
      </c>
      <c r="B614" s="5" t="s">
        <v>2126</v>
      </c>
      <c r="C614" s="5" t="s">
        <v>192</v>
      </c>
      <c r="D614" s="5" t="s">
        <v>193</v>
      </c>
      <c r="E614" s="6">
        <v>45744</v>
      </c>
      <c r="F614" s="8" t="s">
        <v>8</v>
      </c>
      <c r="G614" s="8" t="s">
        <v>8</v>
      </c>
      <c r="H614" s="5"/>
      <c r="I614" s="5" t="s">
        <v>194</v>
      </c>
      <c r="J614" s="5" t="s">
        <v>2106</v>
      </c>
    </row>
    <row r="615" spans="1:10" ht="409.6" x14ac:dyDescent="0.3">
      <c r="A615" s="5" t="str">
        <f>HYPERLINK("https://grants.gov/search-results-detail/352386","NNH24ZDA001N-EXO")</f>
        <v>NNH24ZDA001N-EXO</v>
      </c>
      <c r="B615" s="5" t="s">
        <v>2127</v>
      </c>
      <c r="C615" s="5" t="s">
        <v>192</v>
      </c>
      <c r="D615" s="5" t="s">
        <v>193</v>
      </c>
      <c r="E615" s="6">
        <v>45744</v>
      </c>
      <c r="F615" s="8" t="s">
        <v>8</v>
      </c>
      <c r="G615" s="8" t="s">
        <v>8</v>
      </c>
      <c r="H615" s="5"/>
      <c r="I615" s="5" t="s">
        <v>194</v>
      </c>
      <c r="J615" s="5" t="s">
        <v>2128</v>
      </c>
    </row>
    <row r="616" spans="1:10" ht="409.6" x14ac:dyDescent="0.3">
      <c r="A616" s="5" t="str">
        <f>HYPERLINK("https://grants.gov/search-results-detail/357872","NNH24ZDA001N-ACT")</f>
        <v>NNH24ZDA001N-ACT</v>
      </c>
      <c r="B616" s="5" t="s">
        <v>191</v>
      </c>
      <c r="C616" s="5" t="s">
        <v>192</v>
      </c>
      <c r="D616" s="5" t="s">
        <v>193</v>
      </c>
      <c r="E616" s="6">
        <v>45757</v>
      </c>
      <c r="F616" s="8" t="s">
        <v>8</v>
      </c>
      <c r="G616" s="8" t="s">
        <v>8</v>
      </c>
      <c r="H616" s="5"/>
      <c r="I616" s="5" t="s">
        <v>194</v>
      </c>
      <c r="J616" s="5" t="s">
        <v>195</v>
      </c>
    </row>
    <row r="617" spans="1:10" ht="230.4" x14ac:dyDescent="0.3">
      <c r="A617" s="5" t="str">
        <f>HYPERLINK("https://grants.gov/search-results-detail/357403","NEAPS2501")</f>
        <v>NEAPS2501</v>
      </c>
      <c r="B617" s="5" t="s">
        <v>1270</v>
      </c>
      <c r="C617" s="5" t="s">
        <v>851</v>
      </c>
      <c r="D617" s="5" t="s">
        <v>852</v>
      </c>
      <c r="E617" s="6">
        <v>45674</v>
      </c>
      <c r="F617" s="8">
        <v>1050000</v>
      </c>
      <c r="G617" s="8">
        <v>1050000</v>
      </c>
      <c r="H617" s="5">
        <v>1</v>
      </c>
      <c r="I617" s="5" t="s">
        <v>445</v>
      </c>
      <c r="J617" s="5" t="s">
        <v>1271</v>
      </c>
    </row>
    <row r="618" spans="1:10" ht="331.2" x14ac:dyDescent="0.3">
      <c r="A618" s="5" t="str">
        <f>HYPERLINK("https://grants.gov/search-results-detail/357682","2025NEA01GAP1")</f>
        <v>2025NEA01GAP1</v>
      </c>
      <c r="B618" s="5" t="s">
        <v>850</v>
      </c>
      <c r="C618" s="5" t="s">
        <v>851</v>
      </c>
      <c r="D618" s="5" t="s">
        <v>852</v>
      </c>
      <c r="E618" s="6">
        <v>45701</v>
      </c>
      <c r="F618" s="8">
        <v>150000</v>
      </c>
      <c r="G618" s="8">
        <v>10000</v>
      </c>
      <c r="H618" s="5">
        <v>2075</v>
      </c>
      <c r="I618" s="5" t="s">
        <v>758</v>
      </c>
      <c r="J618" s="5" t="s">
        <v>853</v>
      </c>
    </row>
    <row r="619" spans="1:10" ht="201.6" x14ac:dyDescent="0.3">
      <c r="A619" s="5" t="str">
        <f>HYPERLINK("https://grants.gov/search-results-detail/354172","20250203-HBI")</f>
        <v>20250203-HBI</v>
      </c>
      <c r="B619" s="5" t="s">
        <v>1816</v>
      </c>
      <c r="C619" s="5" t="s">
        <v>139</v>
      </c>
      <c r="D619" s="5" t="s">
        <v>140</v>
      </c>
      <c r="E619" s="6">
        <v>45691</v>
      </c>
      <c r="F619" s="8">
        <v>30000</v>
      </c>
      <c r="G619" s="8">
        <v>1</v>
      </c>
      <c r="H619" s="5">
        <v>3</v>
      </c>
      <c r="I619" s="5" t="s">
        <v>1817</v>
      </c>
      <c r="J619" s="5" t="s">
        <v>1818</v>
      </c>
    </row>
    <row r="620" spans="1:10" ht="129.6" x14ac:dyDescent="0.3">
      <c r="A620" s="5" t="str">
        <f>HYPERLINK("https://grants.gov/search-results-detail/352653","20250212-EH-ES")</f>
        <v>20250212-EH-ES</v>
      </c>
      <c r="B620" s="5" t="s">
        <v>1386</v>
      </c>
      <c r="C620" s="5" t="s">
        <v>139</v>
      </c>
      <c r="D620" s="5" t="s">
        <v>140</v>
      </c>
      <c r="E620" s="6">
        <v>45700</v>
      </c>
      <c r="F620" s="8">
        <v>220000</v>
      </c>
      <c r="G620" s="8">
        <v>1</v>
      </c>
      <c r="H620" s="5">
        <v>18</v>
      </c>
      <c r="I620" s="5" t="s">
        <v>336</v>
      </c>
      <c r="J620" s="5" t="s">
        <v>1387</v>
      </c>
    </row>
    <row r="621" spans="1:10" ht="129.6" x14ac:dyDescent="0.3">
      <c r="A621" s="5" t="str">
        <f>HYPERLINK("https://grants.gov/search-results-detail/352640","20250212-BH-BG")</f>
        <v>20250212-BH-BG</v>
      </c>
      <c r="B621" s="5" t="s">
        <v>1673</v>
      </c>
      <c r="C621" s="5" t="s">
        <v>139</v>
      </c>
      <c r="D621" s="5" t="s">
        <v>140</v>
      </c>
      <c r="E621" s="6">
        <v>45700</v>
      </c>
      <c r="F621" s="8">
        <v>190000</v>
      </c>
      <c r="G621" s="8">
        <v>1</v>
      </c>
      <c r="H621" s="5">
        <v>15</v>
      </c>
      <c r="I621" s="5" t="s">
        <v>1674</v>
      </c>
      <c r="J621" s="5" t="s">
        <v>1675</v>
      </c>
    </row>
    <row r="622" spans="1:10" ht="172.8" x14ac:dyDescent="0.3">
      <c r="A622" s="5" t="str">
        <f>HYPERLINK("https://grants.gov/search-results-detail/352650","20250213-HT")</f>
        <v>20250213-HT</v>
      </c>
      <c r="B622" s="5" t="s">
        <v>1288</v>
      </c>
      <c r="C622" s="5" t="s">
        <v>139</v>
      </c>
      <c r="D622" s="5" t="s">
        <v>140</v>
      </c>
      <c r="E622" s="6">
        <v>45701</v>
      </c>
      <c r="F622" s="8">
        <v>250000</v>
      </c>
      <c r="G622" s="8">
        <v>1</v>
      </c>
      <c r="H622" s="5">
        <v>5</v>
      </c>
      <c r="I622" s="5" t="s">
        <v>1289</v>
      </c>
      <c r="J622" s="5" t="s">
        <v>1290</v>
      </c>
    </row>
    <row r="623" spans="1:10" ht="216" x14ac:dyDescent="0.3">
      <c r="A623" s="5" t="str">
        <f>HYPERLINK("https://grants.gov/search-results-detail/357405","20250312-DR")</f>
        <v>20250312-DR</v>
      </c>
      <c r="B623" s="5" t="s">
        <v>138</v>
      </c>
      <c r="C623" s="5" t="s">
        <v>139</v>
      </c>
      <c r="D623" s="5" t="s">
        <v>140</v>
      </c>
      <c r="E623" s="6">
        <v>45728</v>
      </c>
      <c r="F623" s="8">
        <v>6600</v>
      </c>
      <c r="G623" s="8">
        <v>6600</v>
      </c>
      <c r="H623" s="5">
        <v>12</v>
      </c>
      <c r="I623" s="5" t="s">
        <v>705</v>
      </c>
      <c r="J623" s="5" t="s">
        <v>141</v>
      </c>
    </row>
    <row r="624" spans="1:10" ht="201.6" x14ac:dyDescent="0.3">
      <c r="A624" s="5" t="str">
        <f>HYPERLINK("https://grants.gov/search-results-detail/357425","31310025K0001")</f>
        <v>31310025K0001</v>
      </c>
      <c r="B624" s="5" t="s">
        <v>1244</v>
      </c>
      <c r="C624" s="5" t="s">
        <v>1245</v>
      </c>
      <c r="D624" s="5" t="s">
        <v>1246</v>
      </c>
      <c r="E624" s="6">
        <v>45688</v>
      </c>
      <c r="F624" s="8">
        <v>500000</v>
      </c>
      <c r="G624" s="8">
        <v>0</v>
      </c>
      <c r="H624" s="5">
        <v>20</v>
      </c>
      <c r="I624" s="5" t="s">
        <v>1247</v>
      </c>
      <c r="J624" s="5" t="s">
        <v>1244</v>
      </c>
    </row>
    <row r="625" spans="1:10" ht="409.6" x14ac:dyDescent="0.3">
      <c r="A625" s="5" t="str">
        <f>HYPERLINK("https://grants.gov/search-results-detail/356659","25-502")</f>
        <v>25-502</v>
      </c>
      <c r="B625" s="5" t="s">
        <v>1783</v>
      </c>
      <c r="C625" s="5" t="s">
        <v>32</v>
      </c>
      <c r="D625" s="5" t="s">
        <v>33</v>
      </c>
      <c r="E625" s="6">
        <v>45672</v>
      </c>
      <c r="F625" s="8" t="s">
        <v>8</v>
      </c>
      <c r="G625" s="8" t="s">
        <v>8</v>
      </c>
      <c r="H625" s="5">
        <v>40</v>
      </c>
      <c r="I625" s="5" t="s">
        <v>1677</v>
      </c>
      <c r="J625" s="5" t="s">
        <v>1784</v>
      </c>
    </row>
    <row r="626" spans="1:10" ht="409.6" x14ac:dyDescent="0.3">
      <c r="A626" s="5" t="str">
        <f>HYPERLINK("https://grants.gov/search-results-detail/356415","24-605")</f>
        <v>24-605</v>
      </c>
      <c r="B626" s="5" t="s">
        <v>1888</v>
      </c>
      <c r="C626" s="5" t="s">
        <v>32</v>
      </c>
      <c r="D626" s="5" t="s">
        <v>33</v>
      </c>
      <c r="E626" s="6">
        <v>45672</v>
      </c>
      <c r="F626" s="8" t="s">
        <v>8</v>
      </c>
      <c r="G626" s="8" t="s">
        <v>8</v>
      </c>
      <c r="H626" s="5">
        <v>50</v>
      </c>
      <c r="I626" s="5" t="s">
        <v>1889</v>
      </c>
      <c r="J626" s="5" t="s">
        <v>1890</v>
      </c>
    </row>
    <row r="627" spans="1:10" ht="409.6" x14ac:dyDescent="0.3">
      <c r="A627" s="5" t="str">
        <f>HYPERLINK("https://grants.gov/search-results-detail/349724","23-572")</f>
        <v>23-572</v>
      </c>
      <c r="B627" s="5" t="s">
        <v>2218</v>
      </c>
      <c r="C627" s="5" t="s">
        <v>32</v>
      </c>
      <c r="D627" s="5" t="s">
        <v>33</v>
      </c>
      <c r="E627" s="6">
        <v>45672</v>
      </c>
      <c r="F627" s="8" t="s">
        <v>8</v>
      </c>
      <c r="G627" s="8">
        <v>330000</v>
      </c>
      <c r="H627" s="5">
        <v>80</v>
      </c>
      <c r="I627" s="5" t="s">
        <v>2219</v>
      </c>
      <c r="J627" s="5" t="s">
        <v>2220</v>
      </c>
    </row>
    <row r="628" spans="1:10" ht="409.6" x14ac:dyDescent="0.3">
      <c r="A628" s="5" t="str">
        <f>HYPERLINK("https://grants.gov/search-results-detail/344634","PD-22-1332")</f>
        <v>PD-22-1332</v>
      </c>
      <c r="B628" s="5" t="s">
        <v>2350</v>
      </c>
      <c r="C628" s="5" t="s">
        <v>32</v>
      </c>
      <c r="D628" s="5" t="s">
        <v>33</v>
      </c>
      <c r="E628" s="6">
        <v>45672</v>
      </c>
      <c r="F628" s="8" t="s">
        <v>8</v>
      </c>
      <c r="G628" s="8" t="s">
        <v>8</v>
      </c>
      <c r="H628" s="5"/>
      <c r="I628" s="5" t="s">
        <v>13</v>
      </c>
      <c r="J628" s="5" t="s">
        <v>2351</v>
      </c>
    </row>
    <row r="629" spans="1:10" ht="409.6" x14ac:dyDescent="0.3">
      <c r="A629" s="5" t="str">
        <f>HYPERLINK("https://grants.gov/search-results-detail/344124","23-510")</f>
        <v>23-510</v>
      </c>
      <c r="B629" s="5" t="s">
        <v>2369</v>
      </c>
      <c r="C629" s="5" t="s">
        <v>32</v>
      </c>
      <c r="D629" s="5" t="s">
        <v>33</v>
      </c>
      <c r="E629" s="6">
        <v>45672</v>
      </c>
      <c r="F629" s="8">
        <v>2000000</v>
      </c>
      <c r="G629" s="8">
        <v>200000</v>
      </c>
      <c r="H629" s="5"/>
      <c r="I629" s="5" t="s">
        <v>13</v>
      </c>
      <c r="J629" s="5" t="s">
        <v>2370</v>
      </c>
    </row>
    <row r="630" spans="1:10" ht="409.6" x14ac:dyDescent="0.3">
      <c r="A630" s="5" t="str">
        <f>HYPERLINK("https://grants.gov/search-results-detail/329432","PD-21-128Y")</f>
        <v>PD-21-128Y</v>
      </c>
      <c r="B630" s="5" t="s">
        <v>2555</v>
      </c>
      <c r="C630" s="5" t="s">
        <v>32</v>
      </c>
      <c r="D630" s="5" t="s">
        <v>33</v>
      </c>
      <c r="E630" s="6">
        <v>45672</v>
      </c>
      <c r="F630" s="8" t="s">
        <v>8</v>
      </c>
      <c r="G630" s="8" t="s">
        <v>8</v>
      </c>
      <c r="H630" s="5"/>
      <c r="I630" s="5" t="s">
        <v>13</v>
      </c>
      <c r="J630" s="5" t="s">
        <v>2556</v>
      </c>
    </row>
    <row r="631" spans="1:10" ht="409.6" x14ac:dyDescent="0.3">
      <c r="A631" s="5" t="str">
        <f>HYPERLINK("https://grants.gov/search-results-detail/323597","20-538")</f>
        <v>20-538</v>
      </c>
      <c r="B631" s="5" t="s">
        <v>2613</v>
      </c>
      <c r="C631" s="5" t="s">
        <v>32</v>
      </c>
      <c r="D631" s="5" t="s">
        <v>33</v>
      </c>
      <c r="E631" s="6">
        <v>45672</v>
      </c>
      <c r="F631" s="8" t="s">
        <v>8</v>
      </c>
      <c r="G631" s="8" t="s">
        <v>8</v>
      </c>
      <c r="H631" s="5">
        <v>35</v>
      </c>
      <c r="I631" s="5" t="s">
        <v>2614</v>
      </c>
      <c r="J631" s="5" t="s">
        <v>2615</v>
      </c>
    </row>
    <row r="632" spans="1:10" ht="316.8" x14ac:dyDescent="0.3">
      <c r="A632" s="5" t="str">
        <f>HYPERLINK("https://grants.gov/search-results-detail/320098","PD-19-120Y")</f>
        <v>PD-19-120Y</v>
      </c>
      <c r="B632" s="5" t="s">
        <v>2629</v>
      </c>
      <c r="C632" s="5" t="s">
        <v>32</v>
      </c>
      <c r="D632" s="5" t="s">
        <v>33</v>
      </c>
      <c r="E632" s="6">
        <v>45672</v>
      </c>
      <c r="F632" s="8" t="s">
        <v>8</v>
      </c>
      <c r="G632" s="8" t="s">
        <v>8</v>
      </c>
      <c r="H632" s="5"/>
      <c r="I632" s="5" t="s">
        <v>13</v>
      </c>
      <c r="J632" s="5" t="s">
        <v>2630</v>
      </c>
    </row>
    <row r="633" spans="1:10" ht="316.8" x14ac:dyDescent="0.3">
      <c r="A633" s="5" t="str">
        <f>HYPERLINK("https://grants.gov/search-results-detail/320087","PD-19-118Y")</f>
        <v>PD-19-118Y</v>
      </c>
      <c r="B633" s="5" t="s">
        <v>2631</v>
      </c>
      <c r="C633" s="5" t="s">
        <v>32</v>
      </c>
      <c r="D633" s="5" t="s">
        <v>33</v>
      </c>
      <c r="E633" s="6">
        <v>45672</v>
      </c>
      <c r="F633" s="8" t="s">
        <v>8</v>
      </c>
      <c r="G633" s="8" t="s">
        <v>8</v>
      </c>
      <c r="H633" s="5"/>
      <c r="I633" s="5" t="s">
        <v>13</v>
      </c>
      <c r="J633" s="5" t="s">
        <v>2632</v>
      </c>
    </row>
    <row r="634" spans="1:10" ht="409.6" x14ac:dyDescent="0.3">
      <c r="A634" s="5" t="str">
        <f>HYPERLINK("https://grants.gov/search-results-detail/45812","PD-98-1311")</f>
        <v>PD-98-1311</v>
      </c>
      <c r="B634" s="5" t="s">
        <v>2868</v>
      </c>
      <c r="C634" s="5" t="s">
        <v>32</v>
      </c>
      <c r="D634" s="5" t="s">
        <v>33</v>
      </c>
      <c r="E634" s="6">
        <v>45672</v>
      </c>
      <c r="F634" s="8" t="s">
        <v>8</v>
      </c>
      <c r="G634" s="8" t="s">
        <v>8</v>
      </c>
      <c r="H634" s="5"/>
      <c r="I634" s="5" t="s">
        <v>13</v>
      </c>
      <c r="J634" s="5" t="s">
        <v>2869</v>
      </c>
    </row>
    <row r="635" spans="1:10" ht="409.6" x14ac:dyDescent="0.3">
      <c r="A635" s="5" t="str">
        <f>HYPERLINK("https://grants.gov/search-results-detail/355970","24-595")</f>
        <v>24-595</v>
      </c>
      <c r="B635" s="5" t="s">
        <v>1962</v>
      </c>
      <c r="C635" s="5" t="s">
        <v>32</v>
      </c>
      <c r="D635" s="5" t="s">
        <v>33</v>
      </c>
      <c r="E635" s="6">
        <v>45673</v>
      </c>
      <c r="F635" s="8">
        <v>2000000</v>
      </c>
      <c r="G635" s="8">
        <v>500000</v>
      </c>
      <c r="H635" s="5"/>
      <c r="I635" s="5" t="s">
        <v>1963</v>
      </c>
      <c r="J635" s="5" t="s">
        <v>1964</v>
      </c>
    </row>
    <row r="636" spans="1:10" ht="409.6" x14ac:dyDescent="0.3">
      <c r="A636" s="5" t="str">
        <f>HYPERLINK("https://grants.gov/search-results-detail/353837","24-567")</f>
        <v>24-567</v>
      </c>
      <c r="B636" s="5" t="s">
        <v>2033</v>
      </c>
      <c r="C636" s="5" t="s">
        <v>32</v>
      </c>
      <c r="D636" s="5" t="s">
        <v>33</v>
      </c>
      <c r="E636" s="6">
        <v>45673</v>
      </c>
      <c r="F636" s="8" t="s">
        <v>8</v>
      </c>
      <c r="G636" s="8" t="s">
        <v>8</v>
      </c>
      <c r="H636" s="5">
        <v>6</v>
      </c>
      <c r="I636" s="5" t="s">
        <v>1677</v>
      </c>
      <c r="J636" s="5" t="s">
        <v>2034</v>
      </c>
    </row>
    <row r="637" spans="1:10" ht="409.6" x14ac:dyDescent="0.3">
      <c r="A637" s="5" t="str">
        <f>HYPERLINK("https://grants.gov/search-results-detail/344608","23-520")</f>
        <v>23-520</v>
      </c>
      <c r="B637" s="5" t="s">
        <v>2355</v>
      </c>
      <c r="C637" s="5" t="s">
        <v>32</v>
      </c>
      <c r="D637" s="5" t="s">
        <v>33</v>
      </c>
      <c r="E637" s="6">
        <v>45673</v>
      </c>
      <c r="F637" s="8">
        <v>1000000</v>
      </c>
      <c r="G637" s="8" t="s">
        <v>8</v>
      </c>
      <c r="H637" s="5"/>
      <c r="I637" s="5" t="s">
        <v>2356</v>
      </c>
      <c r="J637" s="5" t="s">
        <v>2357</v>
      </c>
    </row>
    <row r="638" spans="1:10" ht="409.6" x14ac:dyDescent="0.3">
      <c r="A638" s="5" t="str">
        <f>HYPERLINK("https://grants.gov/search-results-detail/344609","23-521")</f>
        <v>23-521</v>
      </c>
      <c r="B638" s="5" t="s">
        <v>2358</v>
      </c>
      <c r="C638" s="5" t="s">
        <v>32</v>
      </c>
      <c r="D638" s="5" t="s">
        <v>33</v>
      </c>
      <c r="E638" s="6">
        <v>45673</v>
      </c>
      <c r="F638" s="8">
        <v>5000000</v>
      </c>
      <c r="G638" s="8" t="s">
        <v>8</v>
      </c>
      <c r="H638" s="5"/>
      <c r="I638" s="5" t="s">
        <v>2356</v>
      </c>
      <c r="J638" s="5" t="s">
        <v>2359</v>
      </c>
    </row>
    <row r="639" spans="1:10" ht="409.6" x14ac:dyDescent="0.3">
      <c r="A639" s="5" t="str">
        <f>HYPERLINK("https://grants.gov/search-results-detail/332139","21-571")</f>
        <v>21-571</v>
      </c>
      <c r="B639" s="5" t="s">
        <v>2505</v>
      </c>
      <c r="C639" s="5" t="s">
        <v>32</v>
      </c>
      <c r="D639" s="5" t="s">
        <v>33</v>
      </c>
      <c r="E639" s="6">
        <v>45673</v>
      </c>
      <c r="F639" s="8">
        <v>1200000</v>
      </c>
      <c r="G639" s="8" t="s">
        <v>8</v>
      </c>
      <c r="H639" s="5">
        <v>30</v>
      </c>
      <c r="I639" s="5" t="s">
        <v>2506</v>
      </c>
      <c r="J639" s="5" t="s">
        <v>2507</v>
      </c>
    </row>
    <row r="640" spans="1:10" ht="409.6" x14ac:dyDescent="0.3">
      <c r="A640" s="5" t="str">
        <f>HYPERLINK("https://grants.gov/search-results-detail/355219","24-587")</f>
        <v>24-587</v>
      </c>
      <c r="B640" s="5" t="s">
        <v>1998</v>
      </c>
      <c r="C640" s="5" t="s">
        <v>32</v>
      </c>
      <c r="D640" s="5" t="s">
        <v>33</v>
      </c>
      <c r="E640" s="6">
        <v>45678</v>
      </c>
      <c r="F640" s="8" t="s">
        <v>8</v>
      </c>
      <c r="G640" s="8" t="s">
        <v>8</v>
      </c>
      <c r="H640" s="5">
        <v>10</v>
      </c>
      <c r="I640" s="5" t="s">
        <v>1999</v>
      </c>
      <c r="J640" s="5" t="s">
        <v>2000</v>
      </c>
    </row>
    <row r="641" spans="1:10" ht="409.6" x14ac:dyDescent="0.3">
      <c r="A641" s="5" t="str">
        <f>HYPERLINK("https://grants.gov/search-results-detail/350348","23-625")</f>
        <v>23-625</v>
      </c>
      <c r="B641" s="5" t="s">
        <v>2207</v>
      </c>
      <c r="C641" s="5" t="s">
        <v>32</v>
      </c>
      <c r="D641" s="5" t="s">
        <v>33</v>
      </c>
      <c r="E641" s="6">
        <v>45678</v>
      </c>
      <c r="F641" s="8" t="s">
        <v>8</v>
      </c>
      <c r="G641" s="8">
        <v>400000</v>
      </c>
      <c r="H641" s="5"/>
      <c r="I641" s="5" t="s">
        <v>2208</v>
      </c>
      <c r="J641" s="5" t="s">
        <v>2209</v>
      </c>
    </row>
    <row r="642" spans="1:10" ht="331.2" x14ac:dyDescent="0.3">
      <c r="A642" s="5" t="str">
        <f>HYPERLINK("https://grants.gov/search-results-detail/349980","23-618")</f>
        <v>23-618</v>
      </c>
      <c r="B642" s="5" t="s">
        <v>2215</v>
      </c>
      <c r="C642" s="5" t="s">
        <v>32</v>
      </c>
      <c r="D642" s="5" t="s">
        <v>33</v>
      </c>
      <c r="E642" s="6">
        <v>45678</v>
      </c>
      <c r="F642" s="8" t="s">
        <v>8</v>
      </c>
      <c r="G642" s="8" t="s">
        <v>8</v>
      </c>
      <c r="H642" s="5">
        <v>30</v>
      </c>
      <c r="I642" s="5" t="s">
        <v>2216</v>
      </c>
      <c r="J642" s="5" t="s">
        <v>2217</v>
      </c>
    </row>
    <row r="643" spans="1:10" ht="409.6" x14ac:dyDescent="0.3">
      <c r="A643" s="5" t="str">
        <f>HYPERLINK("https://grants.gov/search-results-detail/348164","PD-23-1320")</f>
        <v>PD-23-1320</v>
      </c>
      <c r="B643" s="5" t="s">
        <v>2256</v>
      </c>
      <c r="C643" s="5" t="s">
        <v>32</v>
      </c>
      <c r="D643" s="5" t="s">
        <v>33</v>
      </c>
      <c r="E643" s="6">
        <v>45678</v>
      </c>
      <c r="F643" s="8" t="s">
        <v>8</v>
      </c>
      <c r="G643" s="8" t="s">
        <v>8</v>
      </c>
      <c r="H643" s="5">
        <v>110</v>
      </c>
      <c r="I643" s="5" t="s">
        <v>13</v>
      </c>
      <c r="J643" s="5" t="s">
        <v>2257</v>
      </c>
    </row>
    <row r="644" spans="1:10" ht="409.6" x14ac:dyDescent="0.3">
      <c r="A644" s="5" t="str">
        <f>HYPERLINK("https://grants.gov/search-results-detail/348058","PD-23-1321")</f>
        <v>PD-23-1321</v>
      </c>
      <c r="B644" s="5" t="s">
        <v>2258</v>
      </c>
      <c r="C644" s="5" t="s">
        <v>32</v>
      </c>
      <c r="D644" s="5" t="s">
        <v>33</v>
      </c>
      <c r="E644" s="6">
        <v>45678</v>
      </c>
      <c r="F644" s="8" t="s">
        <v>8</v>
      </c>
      <c r="G644" s="8" t="s">
        <v>8</v>
      </c>
      <c r="H644" s="5"/>
      <c r="I644" s="5" t="s">
        <v>13</v>
      </c>
      <c r="J644" s="5" t="s">
        <v>2259</v>
      </c>
    </row>
    <row r="645" spans="1:10" ht="409.6" x14ac:dyDescent="0.3">
      <c r="A645" s="5" t="str">
        <f>HYPERLINK("https://grants.gov/search-results-detail/356675","25-503")</f>
        <v>25-503</v>
      </c>
      <c r="B645" s="5" t="s">
        <v>1757</v>
      </c>
      <c r="C645" s="5" t="s">
        <v>32</v>
      </c>
      <c r="D645" s="5" t="s">
        <v>33</v>
      </c>
      <c r="E645" s="6">
        <v>45679</v>
      </c>
      <c r="F645" s="8">
        <v>1500000</v>
      </c>
      <c r="G645" s="8">
        <v>1000000</v>
      </c>
      <c r="H645" s="5">
        <v>9</v>
      </c>
      <c r="I645" s="5" t="s">
        <v>1758</v>
      </c>
      <c r="J645" s="5" t="s">
        <v>1759</v>
      </c>
    </row>
    <row r="646" spans="1:10" ht="409.6" x14ac:dyDescent="0.3">
      <c r="A646" s="5" t="str">
        <f>HYPERLINK("https://grants.gov/search-results-detail/356841","25-505")</f>
        <v>25-505</v>
      </c>
      <c r="B646" s="5" t="s">
        <v>1639</v>
      </c>
      <c r="C646" s="5" t="s">
        <v>32</v>
      </c>
      <c r="D646" s="5" t="s">
        <v>33</v>
      </c>
      <c r="E646" s="6">
        <v>45680</v>
      </c>
      <c r="F646" s="8" t="s">
        <v>8</v>
      </c>
      <c r="G646" s="8" t="s">
        <v>8</v>
      </c>
      <c r="H646" s="5">
        <v>30</v>
      </c>
      <c r="I646" s="5" t="s">
        <v>1640</v>
      </c>
      <c r="J646" s="5" t="s">
        <v>1641</v>
      </c>
    </row>
    <row r="647" spans="1:10" ht="409.6" x14ac:dyDescent="0.3">
      <c r="A647" s="5" t="str">
        <f>HYPERLINK("https://grants.gov/search-results-detail/356807","25-504")</f>
        <v>25-504</v>
      </c>
      <c r="B647" s="5" t="s">
        <v>1676</v>
      </c>
      <c r="C647" s="5" t="s">
        <v>32</v>
      </c>
      <c r="D647" s="5" t="s">
        <v>33</v>
      </c>
      <c r="E647" s="6">
        <v>45680</v>
      </c>
      <c r="F647" s="8" t="s">
        <v>8</v>
      </c>
      <c r="G647" s="8" t="s">
        <v>8</v>
      </c>
      <c r="H647" s="5">
        <v>20</v>
      </c>
      <c r="I647" s="5" t="s">
        <v>1677</v>
      </c>
      <c r="J647" s="5" t="s">
        <v>1678</v>
      </c>
    </row>
    <row r="648" spans="1:10" ht="409.6" x14ac:dyDescent="0.3">
      <c r="A648" s="5" t="str">
        <f>HYPERLINK("https://grants.gov/search-results-detail/356346","24-604")</f>
        <v>24-604</v>
      </c>
      <c r="B648" s="5" t="s">
        <v>1912</v>
      </c>
      <c r="C648" s="5" t="s">
        <v>32</v>
      </c>
      <c r="D648" s="5" t="s">
        <v>33</v>
      </c>
      <c r="E648" s="6">
        <v>45680</v>
      </c>
      <c r="F648" s="8" t="s">
        <v>8</v>
      </c>
      <c r="G648" s="8" t="s">
        <v>8</v>
      </c>
      <c r="H648" s="5">
        <v>15</v>
      </c>
      <c r="I648" s="5" t="s">
        <v>1913</v>
      </c>
      <c r="J648" s="5" t="s">
        <v>1914</v>
      </c>
    </row>
    <row r="649" spans="1:10" ht="409.6" x14ac:dyDescent="0.3">
      <c r="A649" s="5" t="str">
        <f>HYPERLINK("https://grants.gov/search-results-detail/354269","24-573")</f>
        <v>24-573</v>
      </c>
      <c r="B649" s="5" t="s">
        <v>2030</v>
      </c>
      <c r="C649" s="5" t="s">
        <v>32</v>
      </c>
      <c r="D649" s="5" t="s">
        <v>33</v>
      </c>
      <c r="E649" s="6">
        <v>45685</v>
      </c>
      <c r="F649" s="8">
        <v>1500000</v>
      </c>
      <c r="G649" s="8">
        <v>1000000</v>
      </c>
      <c r="H649" s="5"/>
      <c r="I649" s="5" t="s">
        <v>2031</v>
      </c>
      <c r="J649" s="5" t="s">
        <v>2032</v>
      </c>
    </row>
    <row r="650" spans="1:10" ht="409.6" x14ac:dyDescent="0.3">
      <c r="A650" s="5" t="str">
        <f>HYPERLINK("https://grants.gov/search-results-detail/336364","22-522")</f>
        <v>22-522</v>
      </c>
      <c r="B650" s="5" t="s">
        <v>2471</v>
      </c>
      <c r="C650" s="5" t="s">
        <v>32</v>
      </c>
      <c r="D650" s="5" t="s">
        <v>33</v>
      </c>
      <c r="E650" s="6">
        <v>45685</v>
      </c>
      <c r="F650" s="8" t="s">
        <v>8</v>
      </c>
      <c r="G650" s="8" t="s">
        <v>8</v>
      </c>
      <c r="H650" s="5">
        <v>12</v>
      </c>
      <c r="I650" s="5" t="s">
        <v>2275</v>
      </c>
      <c r="J650" s="5" t="s">
        <v>2472</v>
      </c>
    </row>
    <row r="651" spans="1:10" ht="409.6" x14ac:dyDescent="0.3">
      <c r="A651" s="5" t="str">
        <f>HYPERLINK("https://grants.gov/search-results-detail/352957","24-558")</f>
        <v>24-558</v>
      </c>
      <c r="B651" s="5" t="s">
        <v>2071</v>
      </c>
      <c r="C651" s="5" t="s">
        <v>32</v>
      </c>
      <c r="D651" s="5" t="s">
        <v>33</v>
      </c>
      <c r="E651" s="6">
        <v>45686</v>
      </c>
      <c r="F651" s="8" t="s">
        <v>8</v>
      </c>
      <c r="G651" s="8" t="s">
        <v>8</v>
      </c>
      <c r="H651" s="5"/>
      <c r="I651" s="5" t="s">
        <v>2072</v>
      </c>
      <c r="J651" s="5" t="s">
        <v>2073</v>
      </c>
    </row>
    <row r="652" spans="1:10" ht="409.6" x14ac:dyDescent="0.3">
      <c r="A652" s="5" t="str">
        <f>HYPERLINK("https://grants.gov/search-results-detail/352455","24-544")</f>
        <v>24-544</v>
      </c>
      <c r="B652" s="5" t="s">
        <v>2102</v>
      </c>
      <c r="C652" s="5" t="s">
        <v>32</v>
      </c>
      <c r="D652" s="5" t="s">
        <v>33</v>
      </c>
      <c r="E652" s="6">
        <v>45687</v>
      </c>
      <c r="F652" s="8" t="s">
        <v>8</v>
      </c>
      <c r="G652" s="8" t="s">
        <v>8</v>
      </c>
      <c r="H652" s="5"/>
      <c r="I652" s="5" t="s">
        <v>2103</v>
      </c>
      <c r="J652" s="5" t="s">
        <v>2104</v>
      </c>
    </row>
    <row r="653" spans="1:10" ht="409.6" x14ac:dyDescent="0.3">
      <c r="A653" s="5" t="str">
        <f>HYPERLINK("https://grants.gov/search-results-detail/314743","19-575")</f>
        <v>19-575</v>
      </c>
      <c r="B653" s="5" t="s">
        <v>2642</v>
      </c>
      <c r="C653" s="5" t="s">
        <v>32</v>
      </c>
      <c r="D653" s="5" t="s">
        <v>33</v>
      </c>
      <c r="E653" s="6">
        <v>45687</v>
      </c>
      <c r="F653" s="8" t="s">
        <v>8</v>
      </c>
      <c r="G653" s="8" t="s">
        <v>8</v>
      </c>
      <c r="H653" s="5">
        <v>35</v>
      </c>
      <c r="I653" s="5" t="s">
        <v>2643</v>
      </c>
      <c r="J653" s="5" t="s">
        <v>2644</v>
      </c>
    </row>
    <row r="654" spans="1:10" ht="409.6" x14ac:dyDescent="0.3">
      <c r="A654" s="5" t="str">
        <f>HYPERLINK("https://grants.gov/search-results-detail/344001","23-503")</f>
        <v>23-503</v>
      </c>
      <c r="B654" s="5" t="s">
        <v>2374</v>
      </c>
      <c r="C654" s="5" t="s">
        <v>32</v>
      </c>
      <c r="D654" s="5" t="s">
        <v>33</v>
      </c>
      <c r="E654" s="6">
        <v>45688</v>
      </c>
      <c r="F654" s="8" t="s">
        <v>8</v>
      </c>
      <c r="G654" s="8" t="s">
        <v>8</v>
      </c>
      <c r="H654" s="5">
        <v>40</v>
      </c>
      <c r="I654" s="5" t="s">
        <v>2375</v>
      </c>
      <c r="J654" s="5" t="s">
        <v>2376</v>
      </c>
    </row>
    <row r="655" spans="1:10" ht="409.6" x14ac:dyDescent="0.3">
      <c r="A655" s="5" t="str">
        <f>HYPERLINK("https://grants.gov/search-results-detail/344002","23-504")</f>
        <v>23-504</v>
      </c>
      <c r="B655" s="5" t="s">
        <v>2377</v>
      </c>
      <c r="C655" s="5" t="s">
        <v>32</v>
      </c>
      <c r="D655" s="5" t="s">
        <v>33</v>
      </c>
      <c r="E655" s="6">
        <v>45688</v>
      </c>
      <c r="F655" s="8" t="s">
        <v>8</v>
      </c>
      <c r="G655" s="8" t="s">
        <v>8</v>
      </c>
      <c r="H655" s="5">
        <v>40</v>
      </c>
      <c r="I655" s="5" t="s">
        <v>2378</v>
      </c>
      <c r="J655" s="5" t="s">
        <v>2379</v>
      </c>
    </row>
    <row r="656" spans="1:10" ht="409.6" x14ac:dyDescent="0.3">
      <c r="A656" s="5" t="str">
        <f>HYPERLINK("https://grants.gov/search-results-detail/356943","25-507")</f>
        <v>25-507</v>
      </c>
      <c r="B656" s="5" t="s">
        <v>1572</v>
      </c>
      <c r="C656" s="5" t="s">
        <v>32</v>
      </c>
      <c r="D656" s="5" t="s">
        <v>33</v>
      </c>
      <c r="E656" s="6">
        <v>45691</v>
      </c>
      <c r="F656" s="8" t="s">
        <v>8</v>
      </c>
      <c r="G656" s="8" t="s">
        <v>8</v>
      </c>
      <c r="H656" s="5">
        <v>25</v>
      </c>
      <c r="I656" s="5" t="s">
        <v>1573</v>
      </c>
      <c r="J656" s="5" t="s">
        <v>1574</v>
      </c>
    </row>
    <row r="657" spans="1:10" ht="409.6" x14ac:dyDescent="0.3">
      <c r="A657" s="5" t="str">
        <f>HYPERLINK("https://grants.gov/search-results-detail/356641","25-501")</f>
        <v>25-501</v>
      </c>
      <c r="B657" s="5" t="s">
        <v>1813</v>
      </c>
      <c r="C657" s="5" t="s">
        <v>32</v>
      </c>
      <c r="D657" s="5" t="s">
        <v>33</v>
      </c>
      <c r="E657" s="6">
        <v>45691</v>
      </c>
      <c r="F657" s="8" t="s">
        <v>8</v>
      </c>
      <c r="G657" s="8" t="s">
        <v>8</v>
      </c>
      <c r="H657" s="5">
        <v>12</v>
      </c>
      <c r="I657" s="5" t="s">
        <v>1814</v>
      </c>
      <c r="J657" s="5" t="s">
        <v>1815</v>
      </c>
    </row>
    <row r="658" spans="1:10" ht="409.6" x14ac:dyDescent="0.3">
      <c r="A658" s="5" t="str">
        <f>HYPERLINK("https://grants.gov/search-results-detail/350561","PD-24-1699")</f>
        <v>PD-24-1699</v>
      </c>
      <c r="B658" s="5" t="s">
        <v>2200</v>
      </c>
      <c r="C658" s="5" t="s">
        <v>32</v>
      </c>
      <c r="D658" s="5" t="s">
        <v>33</v>
      </c>
      <c r="E658" s="6">
        <v>45691</v>
      </c>
      <c r="F658" s="8" t="s">
        <v>8</v>
      </c>
      <c r="G658" s="8" t="s">
        <v>8</v>
      </c>
      <c r="H658" s="5">
        <v>25</v>
      </c>
      <c r="I658" s="5" t="s">
        <v>13</v>
      </c>
      <c r="J658" s="5" t="s">
        <v>2201</v>
      </c>
    </row>
    <row r="659" spans="1:10" ht="409.6" x14ac:dyDescent="0.3">
      <c r="A659" s="5" t="str">
        <f>HYPERLINK("https://grants.gov/search-results-detail/343872","22-635")</f>
        <v>22-635</v>
      </c>
      <c r="B659" s="5" t="s">
        <v>2383</v>
      </c>
      <c r="C659" s="5" t="s">
        <v>32</v>
      </c>
      <c r="D659" s="5" t="s">
        <v>33</v>
      </c>
      <c r="E659" s="6">
        <v>45691</v>
      </c>
      <c r="F659" s="8" t="s">
        <v>8</v>
      </c>
      <c r="G659" s="8" t="s">
        <v>8</v>
      </c>
      <c r="H659" s="5"/>
      <c r="I659" s="5" t="s">
        <v>2384</v>
      </c>
      <c r="J659" s="5" t="s">
        <v>2385</v>
      </c>
    </row>
    <row r="660" spans="1:10" ht="409.6" x14ac:dyDescent="0.3">
      <c r="A660" s="5" t="str">
        <f>HYPERLINK("https://grants.gov/search-results-detail/343285","22-629")</f>
        <v>22-629</v>
      </c>
      <c r="B660" s="5" t="s">
        <v>2392</v>
      </c>
      <c r="C660" s="5" t="s">
        <v>32</v>
      </c>
      <c r="D660" s="5" t="s">
        <v>33</v>
      </c>
      <c r="E660" s="6">
        <v>45691</v>
      </c>
      <c r="F660" s="8" t="s">
        <v>8</v>
      </c>
      <c r="G660" s="8" t="s">
        <v>8</v>
      </c>
      <c r="H660" s="5"/>
      <c r="I660" s="5" t="s">
        <v>2393</v>
      </c>
      <c r="J660" s="5" t="s">
        <v>2394</v>
      </c>
    </row>
    <row r="661" spans="1:10" ht="409.6" x14ac:dyDescent="0.3">
      <c r="A661" s="5" t="str">
        <f>HYPERLINK("https://grants.gov/search-results-detail/112354","PD-11-8031")</f>
        <v>PD-11-8031</v>
      </c>
      <c r="B661" s="5" t="s">
        <v>2831</v>
      </c>
      <c r="C661" s="5" t="s">
        <v>32</v>
      </c>
      <c r="D661" s="5" t="s">
        <v>33</v>
      </c>
      <c r="E661" s="6">
        <v>45691</v>
      </c>
      <c r="F661" s="8" t="s">
        <v>8</v>
      </c>
      <c r="G661" s="8" t="s">
        <v>8</v>
      </c>
      <c r="H661" s="5">
        <v>20</v>
      </c>
      <c r="I661" s="5" t="s">
        <v>13</v>
      </c>
      <c r="J661" s="5" t="s">
        <v>2832</v>
      </c>
    </row>
    <row r="662" spans="1:10" ht="409.6" x14ac:dyDescent="0.3">
      <c r="A662" s="5" t="str">
        <f>HYPERLINK("https://grants.gov/search-results-detail/45817","PD-09-7252")</f>
        <v>PD-09-7252</v>
      </c>
      <c r="B662" s="5" t="s">
        <v>2864</v>
      </c>
      <c r="C662" s="5" t="s">
        <v>32</v>
      </c>
      <c r="D662" s="5" t="s">
        <v>33</v>
      </c>
      <c r="E662" s="6">
        <v>45691</v>
      </c>
      <c r="F662" s="8" t="s">
        <v>8</v>
      </c>
      <c r="G662" s="8" t="s">
        <v>8</v>
      </c>
      <c r="H662" s="5">
        <v>35</v>
      </c>
      <c r="I662" s="5" t="s">
        <v>13</v>
      </c>
      <c r="J662" s="5" t="s">
        <v>2865</v>
      </c>
    </row>
    <row r="663" spans="1:10" ht="409.6" x14ac:dyDescent="0.3">
      <c r="A663" s="5" t="str">
        <f>HYPERLINK("https://grants.gov/search-results-detail/356970","25-508")</f>
        <v>25-508</v>
      </c>
      <c r="B663" s="5" t="s">
        <v>1546</v>
      </c>
      <c r="C663" s="5" t="s">
        <v>32</v>
      </c>
      <c r="D663" s="5" t="s">
        <v>33</v>
      </c>
      <c r="E663" s="6">
        <v>45692</v>
      </c>
      <c r="F663" s="8">
        <v>2000000</v>
      </c>
      <c r="G663" s="8">
        <v>1500000</v>
      </c>
      <c r="H663" s="5">
        <v>25</v>
      </c>
      <c r="I663" s="5" t="s">
        <v>1547</v>
      </c>
      <c r="J663" s="5" t="s">
        <v>1548</v>
      </c>
    </row>
    <row r="664" spans="1:10" ht="409.6" x14ac:dyDescent="0.3">
      <c r="A664" s="5" t="str">
        <f>HYPERLINK("https://grants.gov/search-results-detail/328573","PD-20-1260")</f>
        <v>PD-20-1260</v>
      </c>
      <c r="B664" s="5" t="s">
        <v>2564</v>
      </c>
      <c r="C664" s="5" t="s">
        <v>32</v>
      </c>
      <c r="D664" s="5" t="s">
        <v>33</v>
      </c>
      <c r="E664" s="6">
        <v>45692</v>
      </c>
      <c r="F664" s="8" t="s">
        <v>8</v>
      </c>
      <c r="G664" s="8" t="s">
        <v>8</v>
      </c>
      <c r="H664" s="5"/>
      <c r="I664" s="5" t="s">
        <v>13</v>
      </c>
      <c r="J664" s="5" t="s">
        <v>2565</v>
      </c>
    </row>
    <row r="665" spans="1:10" ht="409.6" x14ac:dyDescent="0.3">
      <c r="A665" s="5" t="str">
        <f>HYPERLINK("https://grants.gov/search-results-detail/352796","24-554")</f>
        <v>24-554</v>
      </c>
      <c r="B665" s="5" t="s">
        <v>2084</v>
      </c>
      <c r="C665" s="5" t="s">
        <v>32</v>
      </c>
      <c r="D665" s="5" t="s">
        <v>33</v>
      </c>
      <c r="E665" s="6">
        <v>45693</v>
      </c>
      <c r="F665" s="8">
        <v>1200000</v>
      </c>
      <c r="G665" s="8" t="s">
        <v>8</v>
      </c>
      <c r="H665" s="5">
        <v>10</v>
      </c>
      <c r="I665" s="5" t="s">
        <v>2085</v>
      </c>
      <c r="J665" s="5" t="s">
        <v>2086</v>
      </c>
    </row>
    <row r="666" spans="1:10" ht="409.6" x14ac:dyDescent="0.3">
      <c r="A666" s="5" t="str">
        <f>HYPERLINK("https://grants.gov/search-results-detail/348260","23-568")</f>
        <v>23-568</v>
      </c>
      <c r="B666" s="5" t="s">
        <v>2252</v>
      </c>
      <c r="C666" s="5" t="s">
        <v>32</v>
      </c>
      <c r="D666" s="5" t="s">
        <v>33</v>
      </c>
      <c r="E666" s="6">
        <v>45694</v>
      </c>
      <c r="F666" s="8">
        <v>1200000</v>
      </c>
      <c r="G666" s="8">
        <v>10000</v>
      </c>
      <c r="H666" s="5">
        <v>25</v>
      </c>
      <c r="I666" s="5" t="s">
        <v>13</v>
      </c>
      <c r="J666" s="5" t="s">
        <v>2253</v>
      </c>
    </row>
    <row r="667" spans="1:10" ht="409.6" x14ac:dyDescent="0.3">
      <c r="A667" s="5" t="str">
        <f>HYPERLINK("https://grants.gov/search-results-detail/352175","24-536")</f>
        <v>24-536</v>
      </c>
      <c r="B667" s="5" t="s">
        <v>2147</v>
      </c>
      <c r="C667" s="5" t="s">
        <v>32</v>
      </c>
      <c r="D667" s="5" t="s">
        <v>33</v>
      </c>
      <c r="E667" s="6">
        <v>45695</v>
      </c>
      <c r="F667" s="8" t="s">
        <v>8</v>
      </c>
      <c r="G667" s="8" t="s">
        <v>8</v>
      </c>
      <c r="H667" s="5">
        <v>20</v>
      </c>
      <c r="I667" s="5" t="s">
        <v>2148</v>
      </c>
      <c r="J667" s="5" t="s">
        <v>2149</v>
      </c>
    </row>
    <row r="668" spans="1:10" ht="409.6" x14ac:dyDescent="0.3">
      <c r="A668" s="5" t="str">
        <f>HYPERLINK("https://grants.gov/search-results-detail/351889","24-527")</f>
        <v>24-527</v>
      </c>
      <c r="B668" s="5" t="s">
        <v>2159</v>
      </c>
      <c r="C668" s="5" t="s">
        <v>32</v>
      </c>
      <c r="D668" s="5" t="s">
        <v>33</v>
      </c>
      <c r="E668" s="6">
        <v>45698</v>
      </c>
      <c r="F668" s="8">
        <v>3600000</v>
      </c>
      <c r="G668" s="8">
        <v>1200000</v>
      </c>
      <c r="H668" s="5">
        <v>10</v>
      </c>
      <c r="I668" s="5" t="s">
        <v>2160</v>
      </c>
      <c r="J668" s="5" t="s">
        <v>2161</v>
      </c>
    </row>
    <row r="669" spans="1:10" ht="409.6" x14ac:dyDescent="0.3">
      <c r="A669" s="5" t="str">
        <f>HYPERLINK("https://grants.gov/search-results-detail/347026","23-569")</f>
        <v>23-569</v>
      </c>
      <c r="B669" s="5" t="s">
        <v>2298</v>
      </c>
      <c r="C669" s="5" t="s">
        <v>32</v>
      </c>
      <c r="D669" s="5" t="s">
        <v>33</v>
      </c>
      <c r="E669" s="6">
        <v>45698</v>
      </c>
      <c r="F669" s="8">
        <v>250000</v>
      </c>
      <c r="G669" s="8">
        <v>100000</v>
      </c>
      <c r="H669" s="5">
        <v>8</v>
      </c>
      <c r="I669" s="5" t="s">
        <v>13</v>
      </c>
      <c r="J669" s="5" t="s">
        <v>2299</v>
      </c>
    </row>
    <row r="670" spans="1:10" ht="129.6" x14ac:dyDescent="0.3">
      <c r="A670" s="5" t="str">
        <f>HYPERLINK("https://grants.gov/search-results-detail/337984","22-569")</f>
        <v>22-569</v>
      </c>
      <c r="B670" s="5" t="s">
        <v>2450</v>
      </c>
      <c r="C670" s="5" t="s">
        <v>32</v>
      </c>
      <c r="D670" s="5" t="s">
        <v>33</v>
      </c>
      <c r="E670" s="6">
        <v>45698</v>
      </c>
      <c r="F670" s="8" t="s">
        <v>8</v>
      </c>
      <c r="G670" s="8">
        <v>300000</v>
      </c>
      <c r="H670" s="5">
        <v>10</v>
      </c>
      <c r="I670" s="5" t="s">
        <v>13</v>
      </c>
      <c r="J670" s="5" t="s">
        <v>2451</v>
      </c>
    </row>
    <row r="671" spans="1:10" ht="409.6" x14ac:dyDescent="0.3">
      <c r="A671" s="5" t="str">
        <f>HYPERLINK("https://grants.gov/search-results-detail/320836","PD-19-125Y")</f>
        <v>PD-19-125Y</v>
      </c>
      <c r="B671" s="5" t="s">
        <v>2621</v>
      </c>
      <c r="C671" s="5" t="s">
        <v>32</v>
      </c>
      <c r="D671" s="5" t="s">
        <v>33</v>
      </c>
      <c r="E671" s="6">
        <v>45698</v>
      </c>
      <c r="F671" s="8" t="s">
        <v>8</v>
      </c>
      <c r="G671" s="8" t="s">
        <v>8</v>
      </c>
      <c r="H671" s="5"/>
      <c r="I671" s="5" t="s">
        <v>13</v>
      </c>
      <c r="J671" s="5" t="s">
        <v>2622</v>
      </c>
    </row>
    <row r="672" spans="1:10" ht="409.6" x14ac:dyDescent="0.3">
      <c r="A672" s="5" t="str">
        <f>HYPERLINK("https://grants.gov/search-results-detail/353581","24-565")</f>
        <v>24-565</v>
      </c>
      <c r="B672" s="5" t="s">
        <v>2038</v>
      </c>
      <c r="C672" s="5" t="s">
        <v>32</v>
      </c>
      <c r="D672" s="5" t="s">
        <v>33</v>
      </c>
      <c r="E672" s="6">
        <v>45699</v>
      </c>
      <c r="F672" s="8" t="s">
        <v>8</v>
      </c>
      <c r="G672" s="8">
        <v>15000000</v>
      </c>
      <c r="H672" s="5"/>
      <c r="I672" s="5" t="s">
        <v>2039</v>
      </c>
      <c r="J672" s="5" t="s">
        <v>2040</v>
      </c>
    </row>
    <row r="673" spans="1:10" ht="360" x14ac:dyDescent="0.3">
      <c r="A673" s="5" t="str">
        <f>HYPERLINK("https://grants.gov/search-results-detail/352819","24-555")</f>
        <v>24-555</v>
      </c>
      <c r="B673" s="5" t="s">
        <v>2082</v>
      </c>
      <c r="C673" s="5" t="s">
        <v>32</v>
      </c>
      <c r="D673" s="5" t="s">
        <v>33</v>
      </c>
      <c r="E673" s="6">
        <v>45700</v>
      </c>
      <c r="F673" s="8">
        <v>2000000</v>
      </c>
      <c r="G673" s="8" t="s">
        <v>8</v>
      </c>
      <c r="H673" s="5"/>
      <c r="I673" s="5" t="s">
        <v>1677</v>
      </c>
      <c r="J673" s="5" t="s">
        <v>2083</v>
      </c>
    </row>
    <row r="674" spans="1:10" ht="409.6" x14ac:dyDescent="0.3">
      <c r="A674" s="5" t="str">
        <f>HYPERLINK("https://grants.gov/search-results-detail/352562","24-551")</f>
        <v>24-551</v>
      </c>
      <c r="B674" s="5" t="s">
        <v>2091</v>
      </c>
      <c r="C674" s="5" t="s">
        <v>32</v>
      </c>
      <c r="D674" s="5" t="s">
        <v>33</v>
      </c>
      <c r="E674" s="6">
        <v>45700</v>
      </c>
      <c r="F674" s="8">
        <v>1000000</v>
      </c>
      <c r="G674" s="8" t="s">
        <v>8</v>
      </c>
      <c r="H674" s="5">
        <v>33</v>
      </c>
      <c r="I674" s="5" t="s">
        <v>2092</v>
      </c>
      <c r="J674" s="5" t="s">
        <v>2093</v>
      </c>
    </row>
    <row r="675" spans="1:10" ht="409.6" x14ac:dyDescent="0.3">
      <c r="A675" s="5" t="str">
        <f>HYPERLINK("https://grants.gov/search-results-detail/351482","24-517")</f>
        <v>24-517</v>
      </c>
      <c r="B675" s="5" t="s">
        <v>2170</v>
      </c>
      <c r="C675" s="5" t="s">
        <v>32</v>
      </c>
      <c r="D675" s="5" t="s">
        <v>33</v>
      </c>
      <c r="E675" s="6">
        <v>45700</v>
      </c>
      <c r="F675" s="8">
        <v>400000</v>
      </c>
      <c r="G675" s="8" t="s">
        <v>8</v>
      </c>
      <c r="H675" s="5">
        <v>8</v>
      </c>
      <c r="I675" s="5" t="s">
        <v>2171</v>
      </c>
      <c r="J675" s="5" t="s">
        <v>2172</v>
      </c>
    </row>
    <row r="676" spans="1:10" ht="409.6" x14ac:dyDescent="0.3">
      <c r="A676" s="5" t="str">
        <f>HYPERLINK("https://grants.gov/search-results-detail/320753","PD-19-127Y")</f>
        <v>PD-19-127Y</v>
      </c>
      <c r="B676" s="5" t="s">
        <v>2623</v>
      </c>
      <c r="C676" s="5" t="s">
        <v>32</v>
      </c>
      <c r="D676" s="5" t="s">
        <v>33</v>
      </c>
      <c r="E676" s="6">
        <v>45700</v>
      </c>
      <c r="F676" s="8" t="s">
        <v>8</v>
      </c>
      <c r="G676" s="8">
        <v>550</v>
      </c>
      <c r="H676" s="5"/>
      <c r="I676" s="5" t="s">
        <v>13</v>
      </c>
      <c r="J676" s="5" t="s">
        <v>2624</v>
      </c>
    </row>
    <row r="677" spans="1:10" ht="409.6" x14ac:dyDescent="0.3">
      <c r="A677" s="5" t="str">
        <f>HYPERLINK("https://grants.gov/search-results-detail/356944","25-506")</f>
        <v>25-506</v>
      </c>
      <c r="B677" s="5" t="s">
        <v>1569</v>
      </c>
      <c r="C677" s="5" t="s">
        <v>32</v>
      </c>
      <c r="D677" s="5" t="s">
        <v>33</v>
      </c>
      <c r="E677" s="6">
        <v>45702</v>
      </c>
      <c r="F677" s="8">
        <v>1000000</v>
      </c>
      <c r="G677" s="8" t="s">
        <v>8</v>
      </c>
      <c r="H677" s="5">
        <v>8</v>
      </c>
      <c r="I677" s="5" t="s">
        <v>1570</v>
      </c>
      <c r="J677" s="5" t="s">
        <v>1571</v>
      </c>
    </row>
    <row r="678" spans="1:10" ht="273.60000000000002" x14ac:dyDescent="0.3">
      <c r="A678" s="5" t="str">
        <f>HYPERLINK("https://grants.gov/search-results-detail/350911","24-507")</f>
        <v>24-507</v>
      </c>
      <c r="B678" s="5" t="s">
        <v>2181</v>
      </c>
      <c r="C678" s="5" t="s">
        <v>32</v>
      </c>
      <c r="D678" s="5" t="s">
        <v>33</v>
      </c>
      <c r="E678" s="6">
        <v>45702</v>
      </c>
      <c r="F678" s="8" t="s">
        <v>8</v>
      </c>
      <c r="G678" s="8" t="s">
        <v>8</v>
      </c>
      <c r="H678" s="5">
        <v>15</v>
      </c>
      <c r="I678" s="5" t="s">
        <v>2182</v>
      </c>
      <c r="J678" s="5" t="s">
        <v>2183</v>
      </c>
    </row>
    <row r="679" spans="1:10" ht="115.2" x14ac:dyDescent="0.3">
      <c r="A679" s="5" t="str">
        <f>HYPERLINK("https://grants.gov/search-results-detail/275148","PD-98-1610")</f>
        <v>PD-98-1610</v>
      </c>
      <c r="B679" s="5" t="s">
        <v>2760</v>
      </c>
      <c r="C679" s="5" t="s">
        <v>32</v>
      </c>
      <c r="D679" s="5" t="s">
        <v>33</v>
      </c>
      <c r="E679" s="6">
        <v>45705</v>
      </c>
      <c r="F679" s="8" t="s">
        <v>8</v>
      </c>
      <c r="G679" s="8">
        <v>250000</v>
      </c>
      <c r="H679" s="5"/>
      <c r="I679" s="5" t="s">
        <v>13</v>
      </c>
      <c r="J679" s="5" t="s">
        <v>2761</v>
      </c>
    </row>
    <row r="680" spans="1:10" ht="187.2" x14ac:dyDescent="0.3">
      <c r="A680" s="5" t="str">
        <f>HYPERLINK("https://grants.gov/search-results-detail/45793","PD-98-1680")</f>
        <v>PD-98-1680</v>
      </c>
      <c r="B680" s="5" t="s">
        <v>2870</v>
      </c>
      <c r="C680" s="5" t="s">
        <v>32</v>
      </c>
      <c r="D680" s="5" t="s">
        <v>33</v>
      </c>
      <c r="E680" s="6">
        <v>45705</v>
      </c>
      <c r="F680" s="8" t="s">
        <v>8</v>
      </c>
      <c r="G680" s="8" t="s">
        <v>8</v>
      </c>
      <c r="H680" s="5"/>
      <c r="I680" s="5" t="s">
        <v>13</v>
      </c>
      <c r="J680" s="5" t="s">
        <v>2871</v>
      </c>
    </row>
    <row r="681" spans="1:10" ht="388.8" x14ac:dyDescent="0.3">
      <c r="A681" s="5" t="str">
        <f>HYPERLINK("https://grants.gov/search-results-detail/351534","24-516")</f>
        <v>24-516</v>
      </c>
      <c r="B681" s="5" t="s">
        <v>2164</v>
      </c>
      <c r="C681" s="5" t="s">
        <v>32</v>
      </c>
      <c r="D681" s="5" t="s">
        <v>33</v>
      </c>
      <c r="E681" s="6">
        <v>45706</v>
      </c>
      <c r="F681" s="8" t="s">
        <v>8</v>
      </c>
      <c r="G681" s="8" t="s">
        <v>8</v>
      </c>
      <c r="H681" s="5">
        <v>5</v>
      </c>
      <c r="I681" s="5" t="s">
        <v>2165</v>
      </c>
      <c r="J681" s="5" t="s">
        <v>2166</v>
      </c>
    </row>
    <row r="682" spans="1:10" ht="409.6" x14ac:dyDescent="0.3">
      <c r="A682" s="5" t="str">
        <f>HYPERLINK("https://grants.gov/search-results-detail/351091","24-509")</f>
        <v>24-509</v>
      </c>
      <c r="B682" s="5" t="s">
        <v>2175</v>
      </c>
      <c r="C682" s="5" t="s">
        <v>32</v>
      </c>
      <c r="D682" s="5" t="s">
        <v>33</v>
      </c>
      <c r="E682" s="6">
        <v>45706</v>
      </c>
      <c r="F682" s="8" t="s">
        <v>8</v>
      </c>
      <c r="G682" s="8">
        <v>10500000</v>
      </c>
      <c r="H682" s="5"/>
      <c r="I682" s="5" t="s">
        <v>2176</v>
      </c>
      <c r="J682" s="5" t="s">
        <v>2177</v>
      </c>
    </row>
    <row r="683" spans="1:10" ht="409.6" x14ac:dyDescent="0.3">
      <c r="A683" s="5" t="str">
        <f>HYPERLINK("https://grants.gov/search-results-detail/344223","23-511")</f>
        <v>23-511</v>
      </c>
      <c r="B683" s="5" t="s">
        <v>2367</v>
      </c>
      <c r="C683" s="5" t="s">
        <v>32</v>
      </c>
      <c r="D683" s="5" t="s">
        <v>33</v>
      </c>
      <c r="E683" s="6">
        <v>45706</v>
      </c>
      <c r="F683" s="8" t="s">
        <v>8</v>
      </c>
      <c r="G683" s="8">
        <v>15000000</v>
      </c>
      <c r="H683" s="5">
        <v>5</v>
      </c>
      <c r="I683" s="5" t="s">
        <v>1814</v>
      </c>
      <c r="J683" s="5" t="s">
        <v>2368</v>
      </c>
    </row>
    <row r="684" spans="1:10" ht="409.6" x14ac:dyDescent="0.3">
      <c r="A684" s="5" t="str">
        <f>HYPERLINK("https://grants.gov/search-results-detail/342475","22-615")</f>
        <v>22-615</v>
      </c>
      <c r="B684" s="5" t="s">
        <v>2401</v>
      </c>
      <c r="C684" s="5" t="s">
        <v>32</v>
      </c>
      <c r="D684" s="5" t="s">
        <v>33</v>
      </c>
      <c r="E684" s="6">
        <v>45706</v>
      </c>
      <c r="F684" s="8" t="s">
        <v>8</v>
      </c>
      <c r="G684" s="8" t="s">
        <v>8</v>
      </c>
      <c r="H684" s="5">
        <v>25</v>
      </c>
      <c r="I684" s="5" t="s">
        <v>2402</v>
      </c>
      <c r="J684" s="5" t="s">
        <v>2403</v>
      </c>
    </row>
    <row r="685" spans="1:10" ht="316.8" x14ac:dyDescent="0.3">
      <c r="A685" s="5" t="str">
        <f>HYPERLINK("https://grants.gov/search-results-detail/342476","22-616")</f>
        <v>22-616</v>
      </c>
      <c r="B685" s="5" t="s">
        <v>2404</v>
      </c>
      <c r="C685" s="5" t="s">
        <v>32</v>
      </c>
      <c r="D685" s="5" t="s">
        <v>33</v>
      </c>
      <c r="E685" s="6">
        <v>45706</v>
      </c>
      <c r="F685" s="8" t="s">
        <v>8</v>
      </c>
      <c r="G685" s="8" t="s">
        <v>8</v>
      </c>
      <c r="H685" s="5">
        <v>15</v>
      </c>
      <c r="I685" s="5" t="s">
        <v>2405</v>
      </c>
      <c r="J685" s="5" t="s">
        <v>2406</v>
      </c>
    </row>
    <row r="686" spans="1:10" ht="129.6" x14ac:dyDescent="0.3">
      <c r="A686" s="5" t="str">
        <f>HYPERLINK("https://grants.gov/search-results-detail/275150","PD-98-1670")</f>
        <v>PD-98-1670</v>
      </c>
      <c r="B686" s="5" t="s">
        <v>2762</v>
      </c>
      <c r="C686" s="5" t="s">
        <v>32</v>
      </c>
      <c r="D686" s="5" t="s">
        <v>33</v>
      </c>
      <c r="E686" s="6">
        <v>45706</v>
      </c>
      <c r="F686" s="8">
        <v>2000000</v>
      </c>
      <c r="G686" s="8">
        <v>200000</v>
      </c>
      <c r="H686" s="5">
        <v>20</v>
      </c>
      <c r="I686" s="5" t="s">
        <v>13</v>
      </c>
      <c r="J686" s="5" t="s">
        <v>2763</v>
      </c>
    </row>
    <row r="687" spans="1:10" ht="374.4" x14ac:dyDescent="0.3">
      <c r="A687" s="5" t="str">
        <f>HYPERLINK("https://grants.gov/search-results-detail/351792","24-526")</f>
        <v>24-526</v>
      </c>
      <c r="B687" s="5" t="s">
        <v>2162</v>
      </c>
      <c r="C687" s="5" t="s">
        <v>32</v>
      </c>
      <c r="D687" s="5" t="s">
        <v>33</v>
      </c>
      <c r="E687" s="6">
        <v>45707</v>
      </c>
      <c r="F687" s="8">
        <v>300000</v>
      </c>
      <c r="G687" s="8">
        <v>150000</v>
      </c>
      <c r="H687" s="5">
        <v>20</v>
      </c>
      <c r="I687" s="5" t="s">
        <v>2154</v>
      </c>
      <c r="J687" s="5" t="s">
        <v>2163</v>
      </c>
    </row>
    <row r="688" spans="1:10" ht="302.39999999999998" x14ac:dyDescent="0.3">
      <c r="A688" s="5" t="str">
        <f>HYPERLINK("https://grants.gov/search-results-detail/358104","21-546")</f>
        <v>21-546</v>
      </c>
      <c r="B688" s="5" t="s">
        <v>496</v>
      </c>
      <c r="C688" s="5" t="s">
        <v>32</v>
      </c>
      <c r="D688" s="5" t="s">
        <v>33</v>
      </c>
      <c r="E688" s="6">
        <v>45708</v>
      </c>
      <c r="F688" s="8">
        <v>2000000</v>
      </c>
      <c r="G688" s="8">
        <v>1</v>
      </c>
      <c r="H688" s="5">
        <v>15</v>
      </c>
      <c r="I688" s="5" t="s">
        <v>497</v>
      </c>
      <c r="J688" s="5" t="s">
        <v>498</v>
      </c>
    </row>
    <row r="689" spans="1:10" ht="409.6" x14ac:dyDescent="0.3">
      <c r="A689" s="5" t="str">
        <f>HYPERLINK("https://grants.gov/search-results-detail/357214","25-511")</f>
        <v>25-511</v>
      </c>
      <c r="B689" s="5" t="s">
        <v>1419</v>
      </c>
      <c r="C689" s="5" t="s">
        <v>32</v>
      </c>
      <c r="D689" s="5" t="s">
        <v>33</v>
      </c>
      <c r="E689" s="6">
        <v>45712</v>
      </c>
      <c r="F689" s="8">
        <v>1000000</v>
      </c>
      <c r="G689" s="8">
        <v>1</v>
      </c>
      <c r="H689" s="5">
        <v>35</v>
      </c>
      <c r="I689" s="5" t="s">
        <v>1420</v>
      </c>
      <c r="J689" s="5" t="s">
        <v>1421</v>
      </c>
    </row>
    <row r="690" spans="1:10" ht="409.6" x14ac:dyDescent="0.3">
      <c r="A690" s="5" t="str">
        <f>HYPERLINK("https://grants.gov/search-results-detail/356338","24-602")</f>
        <v>24-602</v>
      </c>
      <c r="B690" s="5" t="s">
        <v>1915</v>
      </c>
      <c r="C690" s="5" t="s">
        <v>32</v>
      </c>
      <c r="D690" s="5" t="s">
        <v>33</v>
      </c>
      <c r="E690" s="6">
        <v>45716</v>
      </c>
      <c r="F690" s="8" t="s">
        <v>8</v>
      </c>
      <c r="G690" s="8" t="s">
        <v>8</v>
      </c>
      <c r="H690" s="5"/>
      <c r="I690" s="5" t="s">
        <v>1573</v>
      </c>
      <c r="J690" s="5" t="s">
        <v>1916</v>
      </c>
    </row>
    <row r="691" spans="1:10" ht="409.6" x14ac:dyDescent="0.3">
      <c r="A691" s="5" t="str">
        <f>HYPERLINK("https://grants.gov/search-results-detail/345629","23-555")</f>
        <v>23-555</v>
      </c>
      <c r="B691" s="5" t="s">
        <v>2325</v>
      </c>
      <c r="C691" s="5" t="s">
        <v>32</v>
      </c>
      <c r="D691" s="5" t="s">
        <v>33</v>
      </c>
      <c r="E691" s="6">
        <v>45716</v>
      </c>
      <c r="F691" s="8" t="s">
        <v>8</v>
      </c>
      <c r="G691" s="8" t="s">
        <v>8</v>
      </c>
      <c r="H691" s="5"/>
      <c r="I691" s="5" t="s">
        <v>2326</v>
      </c>
      <c r="J691" s="5" t="s">
        <v>2327</v>
      </c>
    </row>
    <row r="692" spans="1:10" ht="360" x14ac:dyDescent="0.3">
      <c r="A692" s="5" t="str">
        <f>HYPERLINK("https://grants.gov/search-results-detail/337130","22-548")</f>
        <v>22-548</v>
      </c>
      <c r="B692" s="5" t="s">
        <v>2457</v>
      </c>
      <c r="C692" s="5" t="s">
        <v>32</v>
      </c>
      <c r="D692" s="5" t="s">
        <v>33</v>
      </c>
      <c r="E692" s="6">
        <v>45716</v>
      </c>
      <c r="F692" s="8" t="s">
        <v>8</v>
      </c>
      <c r="G692" s="8" t="s">
        <v>8</v>
      </c>
      <c r="H692" s="5"/>
      <c r="I692" s="5" t="s">
        <v>2458</v>
      </c>
      <c r="J692" s="5" t="s">
        <v>2459</v>
      </c>
    </row>
    <row r="693" spans="1:10" ht="409.6" x14ac:dyDescent="0.3">
      <c r="A693" s="5" t="str">
        <f>HYPERLINK("https://grants.gov/search-results-detail/357395","25-512")</f>
        <v>25-512</v>
      </c>
      <c r="B693" s="5" t="s">
        <v>1262</v>
      </c>
      <c r="C693" s="5" t="s">
        <v>32</v>
      </c>
      <c r="D693" s="5" t="s">
        <v>33</v>
      </c>
      <c r="E693" s="6">
        <v>45719</v>
      </c>
      <c r="F693" s="8" t="s">
        <v>8</v>
      </c>
      <c r="G693" s="8" t="s">
        <v>8</v>
      </c>
      <c r="H693" s="5"/>
      <c r="I693" s="5" t="s">
        <v>1263</v>
      </c>
      <c r="J693" s="5" t="s">
        <v>1264</v>
      </c>
    </row>
    <row r="694" spans="1:10" ht="331.2" x14ac:dyDescent="0.3">
      <c r="A694" s="5" t="str">
        <f>HYPERLINK("https://grants.gov/search-results-detail/357047","25-509")</f>
        <v>25-509</v>
      </c>
      <c r="B694" s="5" t="s">
        <v>1530</v>
      </c>
      <c r="C694" s="5" t="s">
        <v>32</v>
      </c>
      <c r="D694" s="5" t="s">
        <v>33</v>
      </c>
      <c r="E694" s="6">
        <v>45719</v>
      </c>
      <c r="F694" s="8" t="s">
        <v>8</v>
      </c>
      <c r="G694" s="8" t="s">
        <v>8</v>
      </c>
      <c r="H694" s="5">
        <v>15</v>
      </c>
      <c r="I694" s="5" t="s">
        <v>1531</v>
      </c>
      <c r="J694" s="5" t="s">
        <v>1532</v>
      </c>
    </row>
    <row r="695" spans="1:10" ht="409.6" x14ac:dyDescent="0.3">
      <c r="A695" s="5" t="str">
        <f>HYPERLINK("https://grants.gov/search-results-detail/352106","24-534")</f>
        <v>24-534</v>
      </c>
      <c r="B695" s="5" t="s">
        <v>2150</v>
      </c>
      <c r="C695" s="5" t="s">
        <v>32</v>
      </c>
      <c r="D695" s="5" t="s">
        <v>33</v>
      </c>
      <c r="E695" s="6">
        <v>45719</v>
      </c>
      <c r="F695" s="8">
        <v>1000000</v>
      </c>
      <c r="G695" s="8">
        <v>75000</v>
      </c>
      <c r="H695" s="5">
        <v>60</v>
      </c>
      <c r="I695" s="5" t="s">
        <v>2151</v>
      </c>
      <c r="J695" s="5" t="s">
        <v>2152</v>
      </c>
    </row>
    <row r="696" spans="1:10" ht="409.6" x14ac:dyDescent="0.3">
      <c r="A696" s="5" t="str">
        <f>HYPERLINK("https://grants.gov/search-results-detail/347508","23-577")</f>
        <v>23-577</v>
      </c>
      <c r="B696" s="5" t="s">
        <v>2279</v>
      </c>
      <c r="C696" s="5" t="s">
        <v>32</v>
      </c>
      <c r="D696" s="5" t="s">
        <v>33</v>
      </c>
      <c r="E696" s="6">
        <v>45719</v>
      </c>
      <c r="F696" s="8" t="s">
        <v>8</v>
      </c>
      <c r="G696" s="8">
        <v>1500000</v>
      </c>
      <c r="H696" s="5">
        <v>4</v>
      </c>
      <c r="I696" s="5" t="s">
        <v>2280</v>
      </c>
      <c r="J696" s="5" t="s">
        <v>2281</v>
      </c>
    </row>
    <row r="697" spans="1:10" ht="409.6" x14ac:dyDescent="0.3">
      <c r="A697" s="5" t="str">
        <f>HYPERLINK("https://grants.gov/search-results-detail/341086","22-603")</f>
        <v>22-603</v>
      </c>
      <c r="B697" s="5" t="s">
        <v>2413</v>
      </c>
      <c r="C697" s="5" t="s">
        <v>32</v>
      </c>
      <c r="D697" s="5" t="s">
        <v>33</v>
      </c>
      <c r="E697" s="6">
        <v>45719</v>
      </c>
      <c r="F697" s="8" t="s">
        <v>8</v>
      </c>
      <c r="G697" s="8" t="s">
        <v>8</v>
      </c>
      <c r="H697" s="5">
        <v>45</v>
      </c>
      <c r="I697" s="5" t="s">
        <v>2414</v>
      </c>
      <c r="J697" s="5" t="s">
        <v>2415</v>
      </c>
    </row>
    <row r="698" spans="1:10" ht="409.6" x14ac:dyDescent="0.3">
      <c r="A698" s="5" t="str">
        <f>HYPERLINK("https://grants.gov/search-results-detail/357498","25-514")</f>
        <v>25-514</v>
      </c>
      <c r="B698" s="5" t="s">
        <v>1168</v>
      </c>
      <c r="C698" s="5" t="s">
        <v>32</v>
      </c>
      <c r="D698" s="5" t="s">
        <v>33</v>
      </c>
      <c r="E698" s="6">
        <v>45720</v>
      </c>
      <c r="F698" s="8">
        <v>5000000</v>
      </c>
      <c r="G698" s="8">
        <v>1000000</v>
      </c>
      <c r="H698" s="5">
        <v>60</v>
      </c>
      <c r="I698" s="5" t="s">
        <v>1169</v>
      </c>
      <c r="J698" s="5" t="s">
        <v>1170</v>
      </c>
    </row>
    <row r="699" spans="1:10" ht="409.6" x14ac:dyDescent="0.3">
      <c r="A699" s="5" t="str">
        <f>HYPERLINK("https://grants.gov/search-results-detail/357105","25-510")</f>
        <v>25-510</v>
      </c>
      <c r="B699" s="5" t="s">
        <v>1472</v>
      </c>
      <c r="C699" s="5" t="s">
        <v>32</v>
      </c>
      <c r="D699" s="5" t="s">
        <v>33</v>
      </c>
      <c r="E699" s="6">
        <v>45721</v>
      </c>
      <c r="F699" s="8">
        <v>750000</v>
      </c>
      <c r="G699" s="8">
        <v>100000</v>
      </c>
      <c r="H699" s="5">
        <v>15</v>
      </c>
      <c r="I699" s="5" t="s">
        <v>1473</v>
      </c>
      <c r="J699" s="5" t="s">
        <v>1474</v>
      </c>
    </row>
    <row r="700" spans="1:10" ht="409.6" x14ac:dyDescent="0.3">
      <c r="A700" s="5" t="str">
        <f>HYPERLINK("https://grants.gov/search-results-detail/355009","24-582")</f>
        <v>24-582</v>
      </c>
      <c r="B700" s="5" t="s">
        <v>2004</v>
      </c>
      <c r="C700" s="5" t="s">
        <v>32</v>
      </c>
      <c r="D700" s="5" t="s">
        <v>33</v>
      </c>
      <c r="E700" s="6">
        <v>45721</v>
      </c>
      <c r="F700" s="8">
        <v>1555000</v>
      </c>
      <c r="G700" s="8">
        <v>400000</v>
      </c>
      <c r="H700" s="5"/>
      <c r="I700" s="5" t="s">
        <v>2005</v>
      </c>
      <c r="J700" s="5" t="s">
        <v>2006</v>
      </c>
    </row>
    <row r="701" spans="1:10" ht="409.6" x14ac:dyDescent="0.3">
      <c r="A701" s="5" t="str">
        <f>HYPERLINK("https://grants.gov/search-results-detail/354632","24-579")</f>
        <v>24-579</v>
      </c>
      <c r="B701" s="5" t="s">
        <v>2018</v>
      </c>
      <c r="C701" s="5" t="s">
        <v>32</v>
      </c>
      <c r="D701" s="5" t="s">
        <v>33</v>
      </c>
      <c r="E701" s="6">
        <v>45721</v>
      </c>
      <c r="F701" s="8" t="s">
        <v>8</v>
      </c>
      <c r="G701" s="8">
        <v>305000</v>
      </c>
      <c r="H701" s="5"/>
      <c r="I701" s="5" t="s">
        <v>2019</v>
      </c>
      <c r="J701" s="5" t="s">
        <v>2020</v>
      </c>
    </row>
    <row r="702" spans="1:10" ht="409.6" x14ac:dyDescent="0.3">
      <c r="A702" s="5" t="str">
        <f>HYPERLINK("https://grants.gov/search-results-detail/354633","24-580")</f>
        <v>24-580</v>
      </c>
      <c r="B702" s="5" t="s">
        <v>2021</v>
      </c>
      <c r="C702" s="5" t="s">
        <v>32</v>
      </c>
      <c r="D702" s="5" t="s">
        <v>33</v>
      </c>
      <c r="E702" s="6">
        <v>45721</v>
      </c>
      <c r="F702" s="8" t="s">
        <v>8</v>
      </c>
      <c r="G702" s="8">
        <v>12000000</v>
      </c>
      <c r="H702" s="5">
        <v>100</v>
      </c>
      <c r="I702" s="5" t="s">
        <v>2022</v>
      </c>
      <c r="J702" s="5" t="s">
        <v>2023</v>
      </c>
    </row>
    <row r="703" spans="1:10" ht="409.6" x14ac:dyDescent="0.3">
      <c r="A703" s="5" t="str">
        <f>HYPERLINK("https://grants.gov/search-results-detail/351516","24-520")</f>
        <v>24-520</v>
      </c>
      <c r="B703" s="5" t="s">
        <v>2167</v>
      </c>
      <c r="C703" s="5" t="s">
        <v>32</v>
      </c>
      <c r="D703" s="5" t="s">
        <v>33</v>
      </c>
      <c r="E703" s="6">
        <v>45722</v>
      </c>
      <c r="F703" s="8" t="s">
        <v>8</v>
      </c>
      <c r="G703" s="8">
        <v>15300000</v>
      </c>
      <c r="H703" s="5">
        <v>12</v>
      </c>
      <c r="I703" s="5" t="s">
        <v>2168</v>
      </c>
      <c r="J703" s="5" t="s">
        <v>2169</v>
      </c>
    </row>
    <row r="704" spans="1:10" ht="409.6" x14ac:dyDescent="0.3">
      <c r="A704" s="5" t="str">
        <f>HYPERLINK("https://grants.gov/search-results-detail/344070","23-506")</f>
        <v>23-506</v>
      </c>
      <c r="B704" s="5" t="s">
        <v>2371</v>
      </c>
      <c r="C704" s="5" t="s">
        <v>32</v>
      </c>
      <c r="D704" s="5" t="s">
        <v>33</v>
      </c>
      <c r="E704" s="6">
        <v>45726</v>
      </c>
      <c r="F704" s="8">
        <v>28000000</v>
      </c>
      <c r="G704" s="8">
        <v>400000</v>
      </c>
      <c r="H704" s="5">
        <v>25</v>
      </c>
      <c r="I704" s="5" t="s">
        <v>2372</v>
      </c>
      <c r="J704" s="5" t="s">
        <v>2373</v>
      </c>
    </row>
    <row r="705" spans="1:10" ht="409.6" x14ac:dyDescent="0.3">
      <c r="A705" s="5" t="str">
        <f>HYPERLINK("https://grants.gov/search-results-detail/357581","25-520")</f>
        <v>25-520</v>
      </c>
      <c r="B705" s="5" t="s">
        <v>992</v>
      </c>
      <c r="C705" s="5" t="s">
        <v>32</v>
      </c>
      <c r="D705" s="5" t="s">
        <v>33</v>
      </c>
      <c r="E705" s="6">
        <v>45730</v>
      </c>
      <c r="F705" s="8" t="s">
        <v>8</v>
      </c>
      <c r="G705" s="8">
        <v>3000000</v>
      </c>
      <c r="H705" s="5"/>
      <c r="I705" s="5" t="s">
        <v>993</v>
      </c>
      <c r="J705" s="5" t="s">
        <v>994</v>
      </c>
    </row>
    <row r="706" spans="1:10" ht="409.6" x14ac:dyDescent="0.3">
      <c r="A706" s="5" t="str">
        <f>HYPERLINK("https://grants.gov/search-results-detail/357777","25-524")</f>
        <v>25-524</v>
      </c>
      <c r="B706" s="5" t="s">
        <v>338</v>
      </c>
      <c r="C706" s="5" t="s">
        <v>32</v>
      </c>
      <c r="D706" s="5" t="s">
        <v>33</v>
      </c>
      <c r="E706" s="6">
        <v>45733</v>
      </c>
      <c r="F706" s="8" t="s">
        <v>8</v>
      </c>
      <c r="G706" s="8" t="s">
        <v>8</v>
      </c>
      <c r="H706" s="5">
        <v>16</v>
      </c>
      <c r="I706" s="5" t="s">
        <v>156</v>
      </c>
      <c r="J706" s="5" t="s">
        <v>339</v>
      </c>
    </row>
    <row r="707" spans="1:10" ht="360" x14ac:dyDescent="0.3">
      <c r="A707" s="5" t="str">
        <f>HYPERLINK("https://grants.gov/search-results-detail/353134","24-559")</f>
        <v>24-559</v>
      </c>
      <c r="B707" s="5" t="s">
        <v>2066</v>
      </c>
      <c r="C707" s="5" t="s">
        <v>32</v>
      </c>
      <c r="D707" s="5" t="s">
        <v>33</v>
      </c>
      <c r="E707" s="6">
        <v>45733</v>
      </c>
      <c r="F707" s="8" t="s">
        <v>8</v>
      </c>
      <c r="G707" s="8">
        <v>1500000</v>
      </c>
      <c r="H707" s="5">
        <v>10</v>
      </c>
      <c r="I707" s="5" t="s">
        <v>1677</v>
      </c>
      <c r="J707" s="5" t="s">
        <v>2067</v>
      </c>
    </row>
    <row r="708" spans="1:10" ht="409.6" x14ac:dyDescent="0.3">
      <c r="A708" s="5" t="str">
        <f>HYPERLINK("https://grants.gov/search-results-detail/357453","25-513")</f>
        <v>25-513</v>
      </c>
      <c r="B708" s="5" t="s">
        <v>1236</v>
      </c>
      <c r="C708" s="5" t="s">
        <v>32</v>
      </c>
      <c r="D708" s="5" t="s">
        <v>33</v>
      </c>
      <c r="E708" s="6">
        <v>45734</v>
      </c>
      <c r="F708" s="8" t="s">
        <v>8</v>
      </c>
      <c r="G708" s="8">
        <v>400000</v>
      </c>
      <c r="H708" s="5">
        <v>4</v>
      </c>
      <c r="I708" s="5" t="s">
        <v>1237</v>
      </c>
      <c r="J708" s="5" t="s">
        <v>1238</v>
      </c>
    </row>
    <row r="709" spans="1:10" ht="409.6" x14ac:dyDescent="0.3">
      <c r="A709" s="5" t="str">
        <f>HYPERLINK("https://grants.gov/search-results-detail/356129","24-598")</f>
        <v>24-598</v>
      </c>
      <c r="B709" s="5" t="s">
        <v>1946</v>
      </c>
      <c r="C709" s="5" t="s">
        <v>32</v>
      </c>
      <c r="D709" s="5" t="s">
        <v>33</v>
      </c>
      <c r="E709" s="6">
        <v>45735</v>
      </c>
      <c r="F709" s="8">
        <v>19999999</v>
      </c>
      <c r="G709" s="8">
        <v>4000000</v>
      </c>
      <c r="H709" s="5">
        <v>10</v>
      </c>
      <c r="I709" s="5" t="s">
        <v>1947</v>
      </c>
      <c r="J709" s="5" t="s">
        <v>1948</v>
      </c>
    </row>
    <row r="710" spans="1:10" ht="409.6" x14ac:dyDescent="0.3">
      <c r="A710" s="5" t="str">
        <f>HYPERLINK("https://grants.gov/search-results-detail/351947","24-529")</f>
        <v>24-529</v>
      </c>
      <c r="B710" s="5" t="s">
        <v>2153</v>
      </c>
      <c r="C710" s="5" t="s">
        <v>32</v>
      </c>
      <c r="D710" s="5" t="s">
        <v>33</v>
      </c>
      <c r="E710" s="6">
        <v>45741</v>
      </c>
      <c r="F710" s="8">
        <v>1000000</v>
      </c>
      <c r="G710" s="8">
        <v>300000</v>
      </c>
      <c r="H710" s="5">
        <v>20</v>
      </c>
      <c r="I710" s="5" t="s">
        <v>2154</v>
      </c>
      <c r="J710" s="5" t="s">
        <v>2155</v>
      </c>
    </row>
    <row r="711" spans="1:10" ht="409.6" x14ac:dyDescent="0.3">
      <c r="A711" s="5" t="str">
        <f>HYPERLINK("https://grants.gov/search-results-detail/332372","21-576")</f>
        <v>21-576</v>
      </c>
      <c r="B711" s="5" t="s">
        <v>2503</v>
      </c>
      <c r="C711" s="5" t="s">
        <v>32</v>
      </c>
      <c r="D711" s="5" t="s">
        <v>33</v>
      </c>
      <c r="E711" s="6">
        <v>45741</v>
      </c>
      <c r="F711" s="8">
        <v>4400000</v>
      </c>
      <c r="G711" s="8">
        <v>400</v>
      </c>
      <c r="H711" s="5">
        <v>32</v>
      </c>
      <c r="I711" s="5" t="s">
        <v>1531</v>
      </c>
      <c r="J711" s="5" t="s">
        <v>2504</v>
      </c>
    </row>
    <row r="712" spans="1:10" ht="409.6" x14ac:dyDescent="0.3">
      <c r="A712" s="5" t="str">
        <f>HYPERLINK("https://grants.gov/search-results-detail/345091","23-536")</f>
        <v>23-536</v>
      </c>
      <c r="B712" s="5" t="s">
        <v>2330</v>
      </c>
      <c r="C712" s="5" t="s">
        <v>32</v>
      </c>
      <c r="D712" s="5" t="s">
        <v>33</v>
      </c>
      <c r="E712" s="6">
        <v>45742</v>
      </c>
      <c r="F712" s="8">
        <v>15000000</v>
      </c>
      <c r="G712" s="8">
        <v>3000000</v>
      </c>
      <c r="H712" s="5">
        <v>5</v>
      </c>
      <c r="I712" s="5" t="s">
        <v>1814</v>
      </c>
      <c r="J712" s="5" t="s">
        <v>2331</v>
      </c>
    </row>
    <row r="713" spans="1:10" ht="409.6" x14ac:dyDescent="0.3">
      <c r="A713" s="5" t="str">
        <f>HYPERLINK("https://grants.gov/search-results-detail/324456","20-544")</f>
        <v>20-544</v>
      </c>
      <c r="B713" s="5" t="s">
        <v>2603</v>
      </c>
      <c r="C713" s="5" t="s">
        <v>32</v>
      </c>
      <c r="D713" s="5" t="s">
        <v>33</v>
      </c>
      <c r="E713" s="6">
        <v>45747</v>
      </c>
      <c r="F713" s="8" t="s">
        <v>8</v>
      </c>
      <c r="G713" s="8">
        <v>15000000</v>
      </c>
      <c r="H713" s="5">
        <v>4</v>
      </c>
      <c r="I713" s="5" t="s">
        <v>2604</v>
      </c>
      <c r="J713" s="5" t="s">
        <v>2605</v>
      </c>
    </row>
    <row r="714" spans="1:10" ht="409.6" x14ac:dyDescent="0.3">
      <c r="A714" s="5" t="str">
        <f>HYPERLINK("https://grants.gov/search-results-detail/357894","25-528")</f>
        <v>25-528</v>
      </c>
      <c r="B714" s="5" t="s">
        <v>147</v>
      </c>
      <c r="C714" s="5" t="s">
        <v>32</v>
      </c>
      <c r="D714" s="5" t="s">
        <v>33</v>
      </c>
      <c r="E714" s="6">
        <v>45748</v>
      </c>
      <c r="F714" s="8" t="s">
        <v>8</v>
      </c>
      <c r="G714" s="8" t="s">
        <v>8</v>
      </c>
      <c r="H714" s="5"/>
      <c r="I714" s="5" t="s">
        <v>148</v>
      </c>
      <c r="J714" s="5" t="s">
        <v>149</v>
      </c>
    </row>
    <row r="715" spans="1:10" ht="409.6" x14ac:dyDescent="0.3">
      <c r="A715" s="5" t="str">
        <f>HYPERLINK("https://grants.gov/search-results-detail/355196","24-586")</f>
        <v>24-586</v>
      </c>
      <c r="B715" s="5" t="s">
        <v>2001</v>
      </c>
      <c r="C715" s="5" t="s">
        <v>32</v>
      </c>
      <c r="D715" s="5" t="s">
        <v>33</v>
      </c>
      <c r="E715" s="6">
        <v>45748</v>
      </c>
      <c r="F715" s="8" t="s">
        <v>8</v>
      </c>
      <c r="G715" s="8" t="s">
        <v>8</v>
      </c>
      <c r="H715" s="5"/>
      <c r="I715" s="5" t="s">
        <v>2002</v>
      </c>
      <c r="J715" s="5" t="s">
        <v>2003</v>
      </c>
    </row>
    <row r="716" spans="1:10" ht="409.6" x14ac:dyDescent="0.3">
      <c r="A716" s="5" t="str">
        <f>HYPERLINK("https://grants.gov/search-results-detail/358004","25-531")</f>
        <v>25-531</v>
      </c>
      <c r="B716" s="5" t="s">
        <v>657</v>
      </c>
      <c r="C716" s="5" t="s">
        <v>32</v>
      </c>
      <c r="D716" s="5" t="s">
        <v>33</v>
      </c>
      <c r="E716" s="6">
        <v>45749</v>
      </c>
      <c r="F716" s="8">
        <v>1200000</v>
      </c>
      <c r="G716" s="8" t="s">
        <v>8</v>
      </c>
      <c r="H716" s="5">
        <v>20</v>
      </c>
      <c r="I716" s="5" t="s">
        <v>156</v>
      </c>
      <c r="J716" s="5" t="s">
        <v>658</v>
      </c>
    </row>
    <row r="717" spans="1:10" ht="409.6" x14ac:dyDescent="0.3">
      <c r="A717" s="5" t="str">
        <f>HYPERLINK("https://grants.gov/search-results-detail/357983","25-530")</f>
        <v>25-530</v>
      </c>
      <c r="B717" s="5" t="s">
        <v>682</v>
      </c>
      <c r="C717" s="5" t="s">
        <v>32</v>
      </c>
      <c r="D717" s="5" t="s">
        <v>33</v>
      </c>
      <c r="E717" s="6">
        <v>45749</v>
      </c>
      <c r="F717" s="8" t="s">
        <v>8</v>
      </c>
      <c r="G717" s="8" t="s">
        <v>8</v>
      </c>
      <c r="H717" s="5">
        <v>9</v>
      </c>
      <c r="I717" s="5" t="s">
        <v>683</v>
      </c>
      <c r="J717" s="5" t="s">
        <v>684</v>
      </c>
    </row>
    <row r="718" spans="1:10" ht="316.8" x14ac:dyDescent="0.3">
      <c r="A718" s="5" t="str">
        <f>HYPERLINK("https://grants.gov/search-results-detail/357861","25-527")</f>
        <v>25-527</v>
      </c>
      <c r="B718" s="5" t="s">
        <v>155</v>
      </c>
      <c r="C718" s="5" t="s">
        <v>32</v>
      </c>
      <c r="D718" s="5" t="s">
        <v>33</v>
      </c>
      <c r="E718" s="6">
        <v>45751</v>
      </c>
      <c r="F718" s="8" t="s">
        <v>8</v>
      </c>
      <c r="G718" s="8" t="s">
        <v>8</v>
      </c>
      <c r="H718" s="5">
        <v>40</v>
      </c>
      <c r="I718" s="5" t="s">
        <v>156</v>
      </c>
      <c r="J718" s="5" t="s">
        <v>157</v>
      </c>
    </row>
    <row r="719" spans="1:10" ht="409.6" x14ac:dyDescent="0.3">
      <c r="A719" s="5" t="str">
        <f>HYPERLINK("https://grants.gov/search-results-detail/353413","24-564")</f>
        <v>24-564</v>
      </c>
      <c r="B719" s="5" t="s">
        <v>2049</v>
      </c>
      <c r="C719" s="5" t="s">
        <v>32</v>
      </c>
      <c r="D719" s="5" t="s">
        <v>33</v>
      </c>
      <c r="E719" s="6">
        <v>45755</v>
      </c>
      <c r="F719" s="8">
        <v>2000000</v>
      </c>
      <c r="G719" s="8">
        <v>50000</v>
      </c>
      <c r="H719" s="5">
        <v>19</v>
      </c>
      <c r="I719" s="5" t="s">
        <v>2050</v>
      </c>
      <c r="J719" s="5" t="s">
        <v>2051</v>
      </c>
    </row>
    <row r="720" spans="1:10" ht="409.6" x14ac:dyDescent="0.3">
      <c r="A720" s="5" t="str">
        <f>HYPERLINK("https://grants.gov/search-results-detail/351923","24-528")</f>
        <v>24-528</v>
      </c>
      <c r="B720" s="5" t="s">
        <v>2156</v>
      </c>
      <c r="C720" s="5" t="s">
        <v>32</v>
      </c>
      <c r="D720" s="5" t="s">
        <v>33</v>
      </c>
      <c r="E720" s="6">
        <v>45755</v>
      </c>
      <c r="F720" s="8" t="s">
        <v>8</v>
      </c>
      <c r="G720" s="8" t="s">
        <v>8</v>
      </c>
      <c r="H720" s="5"/>
      <c r="I720" s="5" t="s">
        <v>2157</v>
      </c>
      <c r="J720" s="5" t="s">
        <v>2158</v>
      </c>
    </row>
    <row r="721" spans="1:10" ht="409.6" x14ac:dyDescent="0.3">
      <c r="A721" s="5" t="str">
        <f>HYPERLINK("https://grants.gov/search-results-detail/358036","25-533")</f>
        <v>25-533</v>
      </c>
      <c r="B721" s="5" t="s">
        <v>539</v>
      </c>
      <c r="C721" s="5" t="s">
        <v>32</v>
      </c>
      <c r="D721" s="5" t="s">
        <v>33</v>
      </c>
      <c r="E721" s="6">
        <v>45756</v>
      </c>
      <c r="F721" s="8" t="s">
        <v>8</v>
      </c>
      <c r="G721" s="8" t="s">
        <v>8</v>
      </c>
      <c r="H721" s="5">
        <v>10</v>
      </c>
      <c r="I721" s="5" t="s">
        <v>540</v>
      </c>
      <c r="J721" s="5" t="s">
        <v>541</v>
      </c>
    </row>
    <row r="722" spans="1:10" ht="409.6" x14ac:dyDescent="0.3">
      <c r="A722" s="5" t="str">
        <f>HYPERLINK("https://grants.gov/search-results-detail/357964","25-529")</f>
        <v>25-529</v>
      </c>
      <c r="B722" s="5" t="s">
        <v>31</v>
      </c>
      <c r="C722" s="5" t="s">
        <v>32</v>
      </c>
      <c r="D722" s="5" t="s">
        <v>33</v>
      </c>
      <c r="E722" s="6">
        <v>45757</v>
      </c>
      <c r="F722" s="8" t="s">
        <v>8</v>
      </c>
      <c r="G722" s="8" t="s">
        <v>8</v>
      </c>
      <c r="H722" s="5"/>
      <c r="I722" s="5" t="s">
        <v>34</v>
      </c>
      <c r="J722" s="5" t="s">
        <v>35</v>
      </c>
    </row>
    <row r="723" spans="1:10" ht="409.6" x14ac:dyDescent="0.3">
      <c r="A723" s="5" t="str">
        <f>HYPERLINK("https://grants.gov/search-results-detail/356244","24-600")</f>
        <v>24-600</v>
      </c>
      <c r="B723" s="5" t="s">
        <v>1926</v>
      </c>
      <c r="C723" s="5" t="s">
        <v>32</v>
      </c>
      <c r="D723" s="5" t="s">
        <v>33</v>
      </c>
      <c r="E723" s="6">
        <v>45762</v>
      </c>
      <c r="F723" s="8">
        <v>3000000</v>
      </c>
      <c r="G723" s="8" t="s">
        <v>8</v>
      </c>
      <c r="H723" s="5"/>
      <c r="I723" s="5" t="s">
        <v>1927</v>
      </c>
      <c r="J723" s="5" t="s">
        <v>1928</v>
      </c>
    </row>
    <row r="724" spans="1:10" ht="288" x14ac:dyDescent="0.3">
      <c r="A724" s="5" t="str">
        <f>HYPERLINK("https://grants.gov/search-results-detail/357609","25-516")</f>
        <v>25-516</v>
      </c>
      <c r="B724" s="5" t="s">
        <v>932</v>
      </c>
      <c r="C724" s="5" t="s">
        <v>32</v>
      </c>
      <c r="D724" s="5" t="s">
        <v>33</v>
      </c>
      <c r="E724" s="5"/>
      <c r="F724" s="8" t="s">
        <v>8</v>
      </c>
      <c r="G724" s="8" t="s">
        <v>8</v>
      </c>
      <c r="H724" s="5">
        <v>60</v>
      </c>
      <c r="I724" s="5" t="s">
        <v>156</v>
      </c>
      <c r="J724" s="5" t="s">
        <v>933</v>
      </c>
    </row>
    <row r="725" spans="1:10" ht="288" x14ac:dyDescent="0.3">
      <c r="A725" s="5" t="str">
        <f>HYPERLINK("https://grants.gov/search-results-detail/357578","25-518")</f>
        <v>25-518</v>
      </c>
      <c r="B725" s="5" t="s">
        <v>995</v>
      </c>
      <c r="C725" s="5" t="s">
        <v>32</v>
      </c>
      <c r="D725" s="5" t="s">
        <v>33</v>
      </c>
      <c r="E725" s="5"/>
      <c r="F725" s="8" t="s">
        <v>8</v>
      </c>
      <c r="G725" s="8" t="s">
        <v>8</v>
      </c>
      <c r="H725" s="5">
        <v>75</v>
      </c>
      <c r="I725" s="5" t="s">
        <v>156</v>
      </c>
      <c r="J725" s="5" t="s">
        <v>996</v>
      </c>
    </row>
    <row r="726" spans="1:10" ht="288" x14ac:dyDescent="0.3">
      <c r="A726" s="5" t="str">
        <f>HYPERLINK("https://grants.gov/search-results-detail/357580","25-517")</f>
        <v>25-517</v>
      </c>
      <c r="B726" s="5" t="s">
        <v>997</v>
      </c>
      <c r="C726" s="5" t="s">
        <v>32</v>
      </c>
      <c r="D726" s="5" t="s">
        <v>33</v>
      </c>
      <c r="E726" s="5"/>
      <c r="F726" s="8" t="s">
        <v>8</v>
      </c>
      <c r="G726" s="8" t="s">
        <v>8</v>
      </c>
      <c r="H726" s="5"/>
      <c r="I726" s="5" t="s">
        <v>156</v>
      </c>
      <c r="J726" s="5" t="s">
        <v>998</v>
      </c>
    </row>
    <row r="727" spans="1:10" ht="288" x14ac:dyDescent="0.3">
      <c r="A727" s="5" t="str">
        <f>HYPERLINK("https://grants.gov/search-results-detail/357579","25-519")</f>
        <v>25-519</v>
      </c>
      <c r="B727" s="5" t="s">
        <v>999</v>
      </c>
      <c r="C727" s="5" t="s">
        <v>32</v>
      </c>
      <c r="D727" s="5" t="s">
        <v>33</v>
      </c>
      <c r="E727" s="5"/>
      <c r="F727" s="8" t="s">
        <v>8</v>
      </c>
      <c r="G727" s="8" t="s">
        <v>8</v>
      </c>
      <c r="H727" s="5">
        <v>80</v>
      </c>
      <c r="I727" s="5" t="s">
        <v>156</v>
      </c>
      <c r="J727" s="5" t="s">
        <v>1000</v>
      </c>
    </row>
    <row r="728" spans="1:10" ht="409.6" x14ac:dyDescent="0.3">
      <c r="A728" s="5" t="str">
        <f>HYPERLINK("https://grants.gov/search-results-detail/356536","PD-24-7789")</f>
        <v>PD-24-7789</v>
      </c>
      <c r="B728" s="5" t="s">
        <v>1850</v>
      </c>
      <c r="C728" s="5" t="s">
        <v>32</v>
      </c>
      <c r="D728" s="5" t="s">
        <v>33</v>
      </c>
      <c r="E728" s="5"/>
      <c r="F728" s="8" t="s">
        <v>8</v>
      </c>
      <c r="G728" s="8" t="s">
        <v>8</v>
      </c>
      <c r="H728" s="5"/>
      <c r="I728" s="5" t="s">
        <v>13</v>
      </c>
      <c r="J728" s="5" t="s">
        <v>1851</v>
      </c>
    </row>
    <row r="729" spans="1:10" ht="360" x14ac:dyDescent="0.3">
      <c r="A729" s="5" t="str">
        <f>HYPERLINK("https://grants.gov/search-results-detail/356537","PD-24-7791")</f>
        <v>PD-24-7791</v>
      </c>
      <c r="B729" s="5" t="s">
        <v>1852</v>
      </c>
      <c r="C729" s="5" t="s">
        <v>32</v>
      </c>
      <c r="D729" s="5" t="s">
        <v>33</v>
      </c>
      <c r="E729" s="5"/>
      <c r="F729" s="8" t="s">
        <v>8</v>
      </c>
      <c r="G729" s="8" t="s">
        <v>8</v>
      </c>
      <c r="H729" s="5"/>
      <c r="I729" s="5" t="s">
        <v>13</v>
      </c>
      <c r="J729" s="5" t="s">
        <v>1853</v>
      </c>
    </row>
    <row r="730" spans="1:10" ht="409.6" x14ac:dyDescent="0.3">
      <c r="A730" s="5" t="str">
        <f>HYPERLINK("https://grants.gov/search-results-detail/356538","PD-24-7790")</f>
        <v>PD-24-7790</v>
      </c>
      <c r="B730" s="5" t="s">
        <v>1854</v>
      </c>
      <c r="C730" s="5" t="s">
        <v>32</v>
      </c>
      <c r="D730" s="5" t="s">
        <v>33</v>
      </c>
      <c r="E730" s="5"/>
      <c r="F730" s="8" t="s">
        <v>8</v>
      </c>
      <c r="G730" s="8" t="s">
        <v>8</v>
      </c>
      <c r="H730" s="5"/>
      <c r="I730" s="5" t="s">
        <v>13</v>
      </c>
      <c r="J730" s="5" t="s">
        <v>1855</v>
      </c>
    </row>
    <row r="731" spans="1:10" ht="409.6" x14ac:dyDescent="0.3">
      <c r="A731" s="5" t="str">
        <f>HYPERLINK("https://grants.gov/search-results-detail/356425","PD-24-7298")</f>
        <v>PD-24-7298</v>
      </c>
      <c r="B731" s="5" t="s">
        <v>1886</v>
      </c>
      <c r="C731" s="5" t="s">
        <v>32</v>
      </c>
      <c r="D731" s="5" t="s">
        <v>33</v>
      </c>
      <c r="E731" s="5"/>
      <c r="F731" s="8" t="s">
        <v>8</v>
      </c>
      <c r="G731" s="8">
        <v>200000</v>
      </c>
      <c r="H731" s="5"/>
      <c r="I731" s="5" t="s">
        <v>13</v>
      </c>
      <c r="J731" s="5" t="s">
        <v>1887</v>
      </c>
    </row>
    <row r="732" spans="1:10" ht="409.6" x14ac:dyDescent="0.3">
      <c r="A732" s="5" t="str">
        <f>HYPERLINK("https://grants.gov/search-results-detail/356055","PD-24-8084")</f>
        <v>PD-24-8084</v>
      </c>
      <c r="B732" s="5" t="s">
        <v>1952</v>
      </c>
      <c r="C732" s="5" t="s">
        <v>32</v>
      </c>
      <c r="D732" s="5" t="s">
        <v>33</v>
      </c>
      <c r="E732" s="5"/>
      <c r="F732" s="8" t="s">
        <v>8</v>
      </c>
      <c r="G732" s="8" t="s">
        <v>8</v>
      </c>
      <c r="H732" s="5"/>
      <c r="I732" s="5" t="s">
        <v>13</v>
      </c>
      <c r="J732" s="5" t="s">
        <v>1953</v>
      </c>
    </row>
    <row r="733" spans="1:10" ht="409.6" x14ac:dyDescent="0.3">
      <c r="A733" s="5" t="str">
        <f>HYPERLINK("https://grants.gov/search-results-detail/353475","PD-24-7414")</f>
        <v>PD-24-7414</v>
      </c>
      <c r="B733" s="5" t="s">
        <v>2044</v>
      </c>
      <c r="C733" s="5" t="s">
        <v>32</v>
      </c>
      <c r="D733" s="5" t="s">
        <v>33</v>
      </c>
      <c r="E733" s="5"/>
      <c r="F733" s="8">
        <v>600000</v>
      </c>
      <c r="G733" s="8">
        <v>50000</v>
      </c>
      <c r="H733" s="5">
        <v>10</v>
      </c>
      <c r="I733" s="5" t="s">
        <v>13</v>
      </c>
      <c r="J733" s="5" t="s">
        <v>2045</v>
      </c>
    </row>
    <row r="734" spans="1:10" ht="409.6" x14ac:dyDescent="0.3">
      <c r="A734" s="5" t="str">
        <f>HYPERLINK("https://grants.gov/search-results-detail/352499","24-546")</f>
        <v>24-546</v>
      </c>
      <c r="B734" s="5" t="s">
        <v>2096</v>
      </c>
      <c r="C734" s="5" t="s">
        <v>32</v>
      </c>
      <c r="D734" s="5" t="s">
        <v>33</v>
      </c>
      <c r="E734" s="5"/>
      <c r="F734" s="8" t="s">
        <v>8</v>
      </c>
      <c r="G734" s="8" t="s">
        <v>8</v>
      </c>
      <c r="H734" s="5"/>
      <c r="I734" s="5" t="s">
        <v>1814</v>
      </c>
      <c r="J734" s="5" t="s">
        <v>2097</v>
      </c>
    </row>
    <row r="735" spans="1:10" ht="403.2" x14ac:dyDescent="0.3">
      <c r="A735" s="5" t="str">
        <f>HYPERLINK("https://grants.gov/search-results-detail/352500","24-547")</f>
        <v>24-547</v>
      </c>
      <c r="B735" s="5" t="s">
        <v>2098</v>
      </c>
      <c r="C735" s="5" t="s">
        <v>32</v>
      </c>
      <c r="D735" s="5" t="s">
        <v>33</v>
      </c>
      <c r="E735" s="5"/>
      <c r="F735" s="8" t="s">
        <v>8</v>
      </c>
      <c r="G735" s="8" t="s">
        <v>8</v>
      </c>
      <c r="H735" s="5">
        <v>20</v>
      </c>
      <c r="I735" s="5" t="s">
        <v>1814</v>
      </c>
      <c r="J735" s="5" t="s">
        <v>2099</v>
      </c>
    </row>
    <row r="736" spans="1:10" ht="409.6" x14ac:dyDescent="0.3">
      <c r="A736" s="5" t="str">
        <f>HYPERLINK("https://grants.gov/search-results-detail/352454","24-543")</f>
        <v>24-543</v>
      </c>
      <c r="B736" s="5" t="s">
        <v>2100</v>
      </c>
      <c r="C736" s="5" t="s">
        <v>32</v>
      </c>
      <c r="D736" s="5" t="s">
        <v>33</v>
      </c>
      <c r="E736" s="5"/>
      <c r="F736" s="8">
        <v>5000000</v>
      </c>
      <c r="G736" s="8">
        <v>5000</v>
      </c>
      <c r="H736" s="5"/>
      <c r="I736" s="5" t="s">
        <v>1814</v>
      </c>
      <c r="J736" s="5" t="s">
        <v>2101</v>
      </c>
    </row>
    <row r="737" spans="1:10" ht="409.6" x14ac:dyDescent="0.3">
      <c r="A737" s="5" t="str">
        <f>HYPERLINK("https://grants.gov/search-results-detail/352339","24-540")</f>
        <v>24-540</v>
      </c>
      <c r="B737" s="5" t="s">
        <v>2107</v>
      </c>
      <c r="C737" s="5" t="s">
        <v>32</v>
      </c>
      <c r="D737" s="5" t="s">
        <v>33</v>
      </c>
      <c r="E737" s="5"/>
      <c r="F737" s="8">
        <v>200000</v>
      </c>
      <c r="G737" s="8" t="s">
        <v>8</v>
      </c>
      <c r="H737" s="5">
        <v>20</v>
      </c>
      <c r="I737" s="5" t="s">
        <v>2108</v>
      </c>
      <c r="J737" s="5" t="s">
        <v>2109</v>
      </c>
    </row>
    <row r="738" spans="1:10" ht="409.6" x14ac:dyDescent="0.3">
      <c r="A738" s="5" t="str">
        <f>HYPERLINK("https://grants.gov/search-results-detail/352338","24-539")</f>
        <v>24-539</v>
      </c>
      <c r="B738" s="5" t="s">
        <v>2110</v>
      </c>
      <c r="C738" s="5" t="s">
        <v>32</v>
      </c>
      <c r="D738" s="5" t="s">
        <v>33</v>
      </c>
      <c r="E738" s="5"/>
      <c r="F738" s="8" t="s">
        <v>8</v>
      </c>
      <c r="G738" s="8" t="s">
        <v>8</v>
      </c>
      <c r="H738" s="5"/>
      <c r="I738" s="5" t="s">
        <v>1814</v>
      </c>
      <c r="J738" s="5" t="s">
        <v>2111</v>
      </c>
    </row>
    <row r="739" spans="1:10" ht="409.6" x14ac:dyDescent="0.3">
      <c r="A739" s="5" t="str">
        <f>HYPERLINK("https://grants.gov/search-results-detail/351273","PD-19-058Y")</f>
        <v>PD-19-058Y</v>
      </c>
      <c r="B739" s="5" t="s">
        <v>2173</v>
      </c>
      <c r="C739" s="5" t="s">
        <v>32</v>
      </c>
      <c r="D739" s="5" t="s">
        <v>33</v>
      </c>
      <c r="E739" s="5"/>
      <c r="F739" s="8" t="s">
        <v>8</v>
      </c>
      <c r="G739" s="8" t="s">
        <v>8</v>
      </c>
      <c r="H739" s="5"/>
      <c r="I739" s="5" t="s">
        <v>13</v>
      </c>
      <c r="J739" s="5" t="s">
        <v>2174</v>
      </c>
    </row>
    <row r="740" spans="1:10" ht="409.6" x14ac:dyDescent="0.3">
      <c r="A740" s="5" t="str">
        <f>HYPERLINK("https://grants.gov/search-results-detail/350469","PD-23-277Y")</f>
        <v>PD-23-277Y</v>
      </c>
      <c r="B740" s="5" t="s">
        <v>2202</v>
      </c>
      <c r="C740" s="5" t="s">
        <v>32</v>
      </c>
      <c r="D740" s="5" t="s">
        <v>33</v>
      </c>
      <c r="E740" s="5"/>
      <c r="F740" s="8">
        <v>2000000</v>
      </c>
      <c r="G740" s="8">
        <v>400000</v>
      </c>
      <c r="H740" s="5">
        <v>5</v>
      </c>
      <c r="I740" s="5" t="s">
        <v>13</v>
      </c>
      <c r="J740" s="5" t="s">
        <v>2203</v>
      </c>
    </row>
    <row r="741" spans="1:10" ht="409.6" x14ac:dyDescent="0.3">
      <c r="A741" s="5" t="str">
        <f>HYPERLINK("https://grants.gov/search-results-detail/350369","23-628")</f>
        <v>23-628</v>
      </c>
      <c r="B741" s="5" t="s">
        <v>2204</v>
      </c>
      <c r="C741" s="5" t="s">
        <v>32</v>
      </c>
      <c r="D741" s="5" t="s">
        <v>33</v>
      </c>
      <c r="E741" s="5"/>
      <c r="F741" s="8" t="s">
        <v>8</v>
      </c>
      <c r="G741" s="8">
        <v>300000</v>
      </c>
      <c r="H741" s="5">
        <v>25</v>
      </c>
      <c r="I741" s="5" t="s">
        <v>2205</v>
      </c>
      <c r="J741" s="5" t="s">
        <v>2206</v>
      </c>
    </row>
    <row r="742" spans="1:10" ht="409.6" x14ac:dyDescent="0.3">
      <c r="A742" s="5" t="str">
        <f>HYPERLINK("https://grants.gov/search-results-detail/350230","PD-24-1340")</f>
        <v>PD-24-1340</v>
      </c>
      <c r="B742" s="5" t="s">
        <v>2210</v>
      </c>
      <c r="C742" s="5" t="s">
        <v>32</v>
      </c>
      <c r="D742" s="5" t="s">
        <v>33</v>
      </c>
      <c r="E742" s="5"/>
      <c r="F742" s="8" t="s">
        <v>8</v>
      </c>
      <c r="G742" s="8" t="s">
        <v>8</v>
      </c>
      <c r="H742" s="5"/>
      <c r="I742" s="5" t="s">
        <v>13</v>
      </c>
      <c r="J742" s="5" t="s">
        <v>2211</v>
      </c>
    </row>
    <row r="743" spans="1:10" ht="409.6" x14ac:dyDescent="0.3">
      <c r="A743" s="5" t="str">
        <f>HYPERLINK("https://grants.gov/search-results-detail/349654","23-611")</f>
        <v>23-611</v>
      </c>
      <c r="B743" s="5" t="s">
        <v>2221</v>
      </c>
      <c r="C743" s="5" t="s">
        <v>32</v>
      </c>
      <c r="D743" s="5" t="s">
        <v>33</v>
      </c>
      <c r="E743" s="5"/>
      <c r="F743" s="8" t="s">
        <v>8</v>
      </c>
      <c r="G743" s="8" t="s">
        <v>8</v>
      </c>
      <c r="H743" s="5"/>
      <c r="I743" s="5" t="s">
        <v>2222</v>
      </c>
      <c r="J743" s="5" t="s">
        <v>2223</v>
      </c>
    </row>
    <row r="744" spans="1:10" ht="409.6" x14ac:dyDescent="0.3">
      <c r="A744" s="5" t="str">
        <f>HYPERLINK("https://grants.gov/search-results-detail/349655","23-612")</f>
        <v>23-612</v>
      </c>
      <c r="B744" s="5" t="s">
        <v>2224</v>
      </c>
      <c r="C744" s="5" t="s">
        <v>32</v>
      </c>
      <c r="D744" s="5" t="s">
        <v>33</v>
      </c>
      <c r="E744" s="5"/>
      <c r="F744" s="8" t="s">
        <v>8</v>
      </c>
      <c r="G744" s="8" t="s">
        <v>8</v>
      </c>
      <c r="H744" s="5"/>
      <c r="I744" s="5" t="s">
        <v>2222</v>
      </c>
      <c r="J744" s="5" t="s">
        <v>2225</v>
      </c>
    </row>
    <row r="745" spans="1:10" ht="409.6" x14ac:dyDescent="0.3">
      <c r="A745" s="5" t="str">
        <f>HYPERLINK("https://grants.gov/search-results-detail/349109","23-602")</f>
        <v>23-602</v>
      </c>
      <c r="B745" s="5" t="s">
        <v>2234</v>
      </c>
      <c r="C745" s="5" t="s">
        <v>32</v>
      </c>
      <c r="D745" s="5" t="s">
        <v>33</v>
      </c>
      <c r="E745" s="5"/>
      <c r="F745" s="8" t="s">
        <v>8</v>
      </c>
      <c r="G745" s="8" t="s">
        <v>8</v>
      </c>
      <c r="H745" s="5">
        <v>15</v>
      </c>
      <c r="I745" s="5" t="s">
        <v>13</v>
      </c>
      <c r="J745" s="5" t="s">
        <v>2235</v>
      </c>
    </row>
    <row r="746" spans="1:10" ht="409.6" x14ac:dyDescent="0.3">
      <c r="A746" s="5" t="str">
        <f>HYPERLINK("https://grants.gov/search-results-detail/348932","PD-23-1401")</f>
        <v>PD-23-1401</v>
      </c>
      <c r="B746" s="5" t="s">
        <v>2236</v>
      </c>
      <c r="C746" s="5" t="s">
        <v>32</v>
      </c>
      <c r="D746" s="5" t="s">
        <v>33</v>
      </c>
      <c r="E746" s="5"/>
      <c r="F746" s="8" t="s">
        <v>8</v>
      </c>
      <c r="G746" s="8" t="s">
        <v>8</v>
      </c>
      <c r="H746" s="5"/>
      <c r="I746" s="5" t="s">
        <v>13</v>
      </c>
      <c r="J746" s="5" t="s">
        <v>2237</v>
      </c>
    </row>
    <row r="747" spans="1:10" ht="409.6" x14ac:dyDescent="0.3">
      <c r="A747" s="5" t="str">
        <f>HYPERLINK("https://grants.gov/search-results-detail/348793","PD-23-1403")</f>
        <v>PD-23-1403</v>
      </c>
      <c r="B747" s="5" t="s">
        <v>2244</v>
      </c>
      <c r="C747" s="5" t="s">
        <v>32</v>
      </c>
      <c r="D747" s="5" t="s">
        <v>33</v>
      </c>
      <c r="E747" s="5"/>
      <c r="F747" s="8" t="s">
        <v>8</v>
      </c>
      <c r="G747" s="8" t="s">
        <v>8</v>
      </c>
      <c r="H747" s="5"/>
      <c r="I747" s="5" t="s">
        <v>13</v>
      </c>
      <c r="J747" s="5" t="s">
        <v>2245</v>
      </c>
    </row>
    <row r="748" spans="1:10" ht="409.6" x14ac:dyDescent="0.3">
      <c r="A748" s="5" t="str">
        <f>HYPERLINK("https://grants.gov/search-results-detail/348794","PD-23-1491")</f>
        <v>PD-23-1491</v>
      </c>
      <c r="B748" s="5" t="s">
        <v>2246</v>
      </c>
      <c r="C748" s="5" t="s">
        <v>32</v>
      </c>
      <c r="D748" s="5" t="s">
        <v>33</v>
      </c>
      <c r="E748" s="5"/>
      <c r="F748" s="8" t="s">
        <v>8</v>
      </c>
      <c r="G748" s="8" t="s">
        <v>8</v>
      </c>
      <c r="H748" s="5"/>
      <c r="I748" s="5" t="s">
        <v>13</v>
      </c>
      <c r="J748" s="5" t="s">
        <v>2247</v>
      </c>
    </row>
    <row r="749" spans="1:10" ht="409.6" x14ac:dyDescent="0.3">
      <c r="A749" s="5" t="str">
        <f>HYPERLINK("https://grants.gov/search-results-detail/348795","PD-23-5342")</f>
        <v>PD-23-5342</v>
      </c>
      <c r="B749" s="5" t="s">
        <v>2248</v>
      </c>
      <c r="C749" s="5" t="s">
        <v>32</v>
      </c>
      <c r="D749" s="5" t="s">
        <v>33</v>
      </c>
      <c r="E749" s="5"/>
      <c r="F749" s="8" t="s">
        <v>8</v>
      </c>
      <c r="G749" s="8" t="s">
        <v>8</v>
      </c>
      <c r="H749" s="5"/>
      <c r="I749" s="5" t="s">
        <v>13</v>
      </c>
      <c r="J749" s="5" t="s">
        <v>2249</v>
      </c>
    </row>
    <row r="750" spans="1:10" ht="409.6" x14ac:dyDescent="0.3">
      <c r="A750" s="5" t="str">
        <f>HYPERLINK("https://grants.gov/search-results-detail/348796","PD-23-5345")</f>
        <v>PD-23-5345</v>
      </c>
      <c r="B750" s="5" t="s">
        <v>2250</v>
      </c>
      <c r="C750" s="5" t="s">
        <v>32</v>
      </c>
      <c r="D750" s="5" t="s">
        <v>33</v>
      </c>
      <c r="E750" s="5"/>
      <c r="F750" s="8" t="s">
        <v>8</v>
      </c>
      <c r="G750" s="8" t="s">
        <v>8</v>
      </c>
      <c r="H750" s="5"/>
      <c r="I750" s="5" t="s">
        <v>13</v>
      </c>
      <c r="J750" s="5" t="s">
        <v>2251</v>
      </c>
    </row>
    <row r="751" spans="1:10" ht="409.6" x14ac:dyDescent="0.3">
      <c r="A751" s="5" t="str">
        <f>HYPERLINK("https://grants.gov/search-results-detail/348258","PD-18-7607")</f>
        <v>PD-18-7607</v>
      </c>
      <c r="B751" s="5" t="s">
        <v>2254</v>
      </c>
      <c r="C751" s="5" t="s">
        <v>32</v>
      </c>
      <c r="D751" s="5" t="s">
        <v>33</v>
      </c>
      <c r="E751" s="5"/>
      <c r="F751" s="8" t="s">
        <v>8</v>
      </c>
      <c r="G751" s="8" t="s">
        <v>8</v>
      </c>
      <c r="H751" s="5"/>
      <c r="I751" s="5" t="s">
        <v>13</v>
      </c>
      <c r="J751" s="5" t="s">
        <v>2255</v>
      </c>
    </row>
    <row r="752" spans="1:10" ht="360" x14ac:dyDescent="0.3">
      <c r="A752" s="5" t="str">
        <f>HYPERLINK("https://grants.gov/search-results-detail/347679","23-580")</f>
        <v>23-580</v>
      </c>
      <c r="B752" s="5" t="s">
        <v>2272</v>
      </c>
      <c r="C752" s="5" t="s">
        <v>32</v>
      </c>
      <c r="D752" s="5" t="s">
        <v>33</v>
      </c>
      <c r="E752" s="5"/>
      <c r="F752" s="8">
        <v>1200000</v>
      </c>
      <c r="G752" s="8">
        <v>25000</v>
      </c>
      <c r="H752" s="5">
        <v>60</v>
      </c>
      <c r="I752" s="5" t="s">
        <v>1814</v>
      </c>
      <c r="J752" s="5" t="s">
        <v>2273</v>
      </c>
    </row>
    <row r="753" spans="1:10" ht="403.2" x14ac:dyDescent="0.3">
      <c r="A753" s="5" t="str">
        <f>HYPERLINK("https://grants.gov/search-results-detail/347680","23-578")</f>
        <v>23-578</v>
      </c>
      <c r="B753" s="5" t="s">
        <v>2274</v>
      </c>
      <c r="C753" s="5" t="s">
        <v>32</v>
      </c>
      <c r="D753" s="5" t="s">
        <v>33</v>
      </c>
      <c r="E753" s="5"/>
      <c r="F753" s="8">
        <v>800000</v>
      </c>
      <c r="G753" s="8">
        <v>300000</v>
      </c>
      <c r="H753" s="5">
        <v>40</v>
      </c>
      <c r="I753" s="5" t="s">
        <v>2275</v>
      </c>
      <c r="J753" s="5" t="s">
        <v>2276</v>
      </c>
    </row>
    <row r="754" spans="1:10" ht="409.6" x14ac:dyDescent="0.3">
      <c r="A754" s="5" t="str">
        <f>HYPERLINK("https://grants.gov/search-results-detail/347509","PD-23-1407")</f>
        <v>PD-23-1407</v>
      </c>
      <c r="B754" s="5" t="s">
        <v>2277</v>
      </c>
      <c r="C754" s="5" t="s">
        <v>32</v>
      </c>
      <c r="D754" s="5" t="s">
        <v>33</v>
      </c>
      <c r="E754" s="5"/>
      <c r="F754" s="8" t="s">
        <v>8</v>
      </c>
      <c r="G754" s="8" t="s">
        <v>8</v>
      </c>
      <c r="H754" s="5"/>
      <c r="I754" s="5" t="s">
        <v>13</v>
      </c>
      <c r="J754" s="5" t="s">
        <v>2278</v>
      </c>
    </row>
    <row r="755" spans="1:10" ht="409.6" x14ac:dyDescent="0.3">
      <c r="A755" s="5" t="str">
        <f>HYPERLINK("https://grants.gov/search-results-detail/347323","PD-23-1179")</f>
        <v>PD-23-1179</v>
      </c>
      <c r="B755" s="5" t="s">
        <v>2282</v>
      </c>
      <c r="C755" s="5" t="s">
        <v>32</v>
      </c>
      <c r="D755" s="5" t="s">
        <v>33</v>
      </c>
      <c r="E755" s="5"/>
      <c r="F755" s="8" t="s">
        <v>8</v>
      </c>
      <c r="G755" s="8" t="s">
        <v>8</v>
      </c>
      <c r="H755" s="5">
        <v>100</v>
      </c>
      <c r="I755" s="5" t="s">
        <v>13</v>
      </c>
      <c r="J755" s="5" t="s">
        <v>2283</v>
      </c>
    </row>
    <row r="756" spans="1:10" ht="409.6" x14ac:dyDescent="0.3">
      <c r="A756" s="5" t="str">
        <f>HYPERLINK("https://grants.gov/search-results-detail/347324","PD-23-1406")</f>
        <v>PD-23-1406</v>
      </c>
      <c r="B756" s="5" t="s">
        <v>2284</v>
      </c>
      <c r="C756" s="5" t="s">
        <v>32</v>
      </c>
      <c r="D756" s="5" t="s">
        <v>33</v>
      </c>
      <c r="E756" s="5"/>
      <c r="F756" s="8" t="s">
        <v>8</v>
      </c>
      <c r="G756" s="8" t="s">
        <v>8</v>
      </c>
      <c r="H756" s="5"/>
      <c r="I756" s="5" t="s">
        <v>13</v>
      </c>
      <c r="J756" s="5" t="s">
        <v>2285</v>
      </c>
    </row>
    <row r="757" spans="1:10" ht="409.6" x14ac:dyDescent="0.3">
      <c r="A757" s="5" t="str">
        <f>HYPERLINK("https://grants.gov/search-results-detail/347325","PD-23-1415")</f>
        <v>PD-23-1415</v>
      </c>
      <c r="B757" s="5" t="s">
        <v>2286</v>
      </c>
      <c r="C757" s="5" t="s">
        <v>32</v>
      </c>
      <c r="D757" s="5" t="s">
        <v>33</v>
      </c>
      <c r="E757" s="5"/>
      <c r="F757" s="8" t="s">
        <v>8</v>
      </c>
      <c r="G757" s="8" t="s">
        <v>8</v>
      </c>
      <c r="H757" s="5"/>
      <c r="I757" s="5" t="s">
        <v>13</v>
      </c>
      <c r="J757" s="5" t="s">
        <v>2287</v>
      </c>
    </row>
    <row r="758" spans="1:10" ht="409.6" x14ac:dyDescent="0.3">
      <c r="A758" s="5" t="str">
        <f>HYPERLINK("https://grants.gov/search-results-detail/347326","PD-23-1417")</f>
        <v>PD-23-1417</v>
      </c>
      <c r="B758" s="5" t="s">
        <v>2288</v>
      </c>
      <c r="C758" s="5" t="s">
        <v>32</v>
      </c>
      <c r="D758" s="5" t="s">
        <v>33</v>
      </c>
      <c r="E758" s="5"/>
      <c r="F758" s="8" t="s">
        <v>8</v>
      </c>
      <c r="G758" s="8" t="s">
        <v>8</v>
      </c>
      <c r="H758" s="5">
        <v>113</v>
      </c>
      <c r="I758" s="5" t="s">
        <v>13</v>
      </c>
      <c r="J758" s="5" t="s">
        <v>2289</v>
      </c>
    </row>
    <row r="759" spans="1:10" ht="409.6" x14ac:dyDescent="0.3">
      <c r="A759" s="5" t="str">
        <f>HYPERLINK("https://grants.gov/search-results-detail/347327","PD-23-7236")</f>
        <v>PD-23-7236</v>
      </c>
      <c r="B759" s="5" t="s">
        <v>2290</v>
      </c>
      <c r="C759" s="5" t="s">
        <v>32</v>
      </c>
      <c r="D759" s="5" t="s">
        <v>33</v>
      </c>
      <c r="E759" s="5"/>
      <c r="F759" s="8" t="s">
        <v>8</v>
      </c>
      <c r="G759" s="8" t="s">
        <v>8</v>
      </c>
      <c r="H759" s="5"/>
      <c r="I759" s="5" t="s">
        <v>13</v>
      </c>
      <c r="J759" s="5" t="s">
        <v>2291</v>
      </c>
    </row>
    <row r="760" spans="1:10" ht="409.6" x14ac:dyDescent="0.3">
      <c r="A760" s="5" t="str">
        <f>HYPERLINK("https://grants.gov/search-results-detail/347328","PD-23-7643")</f>
        <v>PD-23-7643</v>
      </c>
      <c r="B760" s="5" t="s">
        <v>2292</v>
      </c>
      <c r="C760" s="5" t="s">
        <v>32</v>
      </c>
      <c r="D760" s="5" t="s">
        <v>33</v>
      </c>
      <c r="E760" s="5"/>
      <c r="F760" s="8" t="s">
        <v>8</v>
      </c>
      <c r="G760" s="8" t="s">
        <v>8</v>
      </c>
      <c r="H760" s="5">
        <v>103</v>
      </c>
      <c r="I760" s="5" t="s">
        <v>13</v>
      </c>
      <c r="J760" s="5" t="s">
        <v>2293</v>
      </c>
    </row>
    <row r="761" spans="1:10" ht="409.6" x14ac:dyDescent="0.3">
      <c r="A761" s="5" t="str">
        <f>HYPERLINK("https://grants.gov/search-results-detail/347329","PD-23-7644")</f>
        <v>PD-23-7644</v>
      </c>
      <c r="B761" s="5" t="s">
        <v>2294</v>
      </c>
      <c r="C761" s="5" t="s">
        <v>32</v>
      </c>
      <c r="D761" s="5" t="s">
        <v>33</v>
      </c>
      <c r="E761" s="5"/>
      <c r="F761" s="8" t="s">
        <v>8</v>
      </c>
      <c r="G761" s="8" t="s">
        <v>8</v>
      </c>
      <c r="H761" s="5"/>
      <c r="I761" s="5" t="s">
        <v>13</v>
      </c>
      <c r="J761" s="5" t="s">
        <v>2295</v>
      </c>
    </row>
    <row r="762" spans="1:10" ht="409.6" x14ac:dyDescent="0.3">
      <c r="A762" s="5" t="str">
        <f>HYPERLINK("https://grants.gov/search-results-detail/347020","PD-23-1443")</f>
        <v>PD-23-1443</v>
      </c>
      <c r="B762" s="5" t="s">
        <v>2296</v>
      </c>
      <c r="C762" s="5" t="s">
        <v>32</v>
      </c>
      <c r="D762" s="5" t="s">
        <v>33</v>
      </c>
      <c r="E762" s="5"/>
      <c r="F762" s="8" t="s">
        <v>8</v>
      </c>
      <c r="G762" s="8" t="s">
        <v>8</v>
      </c>
      <c r="H762" s="5"/>
      <c r="I762" s="5" t="s">
        <v>13</v>
      </c>
      <c r="J762" s="5" t="s">
        <v>2297</v>
      </c>
    </row>
    <row r="763" spans="1:10" ht="409.6" x14ac:dyDescent="0.3">
      <c r="A763" s="5" t="str">
        <f>HYPERLINK("https://grants.gov/search-results-detail/346203","PD-23-221Y")</f>
        <v>PD-23-221Y</v>
      </c>
      <c r="B763" s="5" t="s">
        <v>2311</v>
      </c>
      <c r="C763" s="5" t="s">
        <v>32</v>
      </c>
      <c r="D763" s="5" t="s">
        <v>33</v>
      </c>
      <c r="E763" s="5"/>
      <c r="F763" s="8" t="s">
        <v>8</v>
      </c>
      <c r="G763" s="8" t="s">
        <v>8</v>
      </c>
      <c r="H763" s="5"/>
      <c r="I763" s="5" t="s">
        <v>13</v>
      </c>
      <c r="J763" s="5" t="s">
        <v>2312</v>
      </c>
    </row>
    <row r="764" spans="1:10" ht="409.6" x14ac:dyDescent="0.3">
      <c r="A764" s="5" t="str">
        <f>HYPERLINK("https://grants.gov/search-results-detail/346204","PD-18-7564")</f>
        <v>PD-18-7564</v>
      </c>
      <c r="B764" s="5" t="s">
        <v>2313</v>
      </c>
      <c r="C764" s="5" t="s">
        <v>32</v>
      </c>
      <c r="D764" s="5" t="s">
        <v>33</v>
      </c>
      <c r="E764" s="5"/>
      <c r="F764" s="8" t="s">
        <v>8</v>
      </c>
      <c r="G764" s="8" t="s">
        <v>8</v>
      </c>
      <c r="H764" s="5"/>
      <c r="I764" s="5" t="s">
        <v>13</v>
      </c>
      <c r="J764" s="5" t="s">
        <v>2314</v>
      </c>
    </row>
    <row r="765" spans="1:10" ht="409.6" x14ac:dyDescent="0.3">
      <c r="A765" s="5" t="str">
        <f>HYPERLINK("https://grants.gov/search-results-detail/345872","PD-18-1517")</f>
        <v>PD-18-1517</v>
      </c>
      <c r="B765" s="5" t="s">
        <v>2320</v>
      </c>
      <c r="C765" s="5" t="s">
        <v>32</v>
      </c>
      <c r="D765" s="5" t="s">
        <v>33</v>
      </c>
      <c r="E765" s="5"/>
      <c r="F765" s="8" t="s">
        <v>8</v>
      </c>
      <c r="G765" s="8" t="s">
        <v>8</v>
      </c>
      <c r="H765" s="5"/>
      <c r="I765" s="5" t="s">
        <v>13</v>
      </c>
      <c r="J765" s="5" t="s">
        <v>2321</v>
      </c>
    </row>
    <row r="766" spans="1:10" ht="409.6" x14ac:dyDescent="0.3">
      <c r="A766" s="5" t="str">
        <f>HYPERLINK("https://grants.gov/search-results-detail/345354","PD-23-229Y")</f>
        <v>PD-23-229Y</v>
      </c>
      <c r="B766" s="5" t="s">
        <v>2328</v>
      </c>
      <c r="C766" s="5" t="s">
        <v>32</v>
      </c>
      <c r="D766" s="5" t="s">
        <v>33</v>
      </c>
      <c r="E766" s="5"/>
      <c r="F766" s="8" t="s">
        <v>8</v>
      </c>
      <c r="G766" s="8" t="s">
        <v>8</v>
      </c>
      <c r="H766" s="5"/>
      <c r="I766" s="5" t="s">
        <v>13</v>
      </c>
      <c r="J766" s="5" t="s">
        <v>2329</v>
      </c>
    </row>
    <row r="767" spans="1:10" ht="316.8" x14ac:dyDescent="0.3">
      <c r="A767" s="5" t="str">
        <f>HYPERLINK("https://grants.gov/search-results-detail/344911","23-531")</f>
        <v>23-531</v>
      </c>
      <c r="B767" s="5" t="s">
        <v>2335</v>
      </c>
      <c r="C767" s="5" t="s">
        <v>32</v>
      </c>
      <c r="D767" s="5" t="s">
        <v>33</v>
      </c>
      <c r="E767" s="5"/>
      <c r="F767" s="8">
        <v>25000</v>
      </c>
      <c r="G767" s="8" t="s">
        <v>8</v>
      </c>
      <c r="H767" s="5">
        <v>40</v>
      </c>
      <c r="I767" s="5" t="s">
        <v>2336</v>
      </c>
      <c r="J767" s="5" t="s">
        <v>2337</v>
      </c>
    </row>
    <row r="768" spans="1:10" ht="288" x14ac:dyDescent="0.3">
      <c r="A768" s="5" t="str">
        <f>HYPERLINK("https://grants.gov/search-results-detail/344858","PD-23-1650")</f>
        <v>PD-23-1650</v>
      </c>
      <c r="B768" s="5" t="s">
        <v>2346</v>
      </c>
      <c r="C768" s="5" t="s">
        <v>32</v>
      </c>
      <c r="D768" s="5" t="s">
        <v>33</v>
      </c>
      <c r="E768" s="5"/>
      <c r="F768" s="8" t="s">
        <v>8</v>
      </c>
      <c r="G768" s="8" t="s">
        <v>8</v>
      </c>
      <c r="H768" s="5"/>
      <c r="I768" s="5" t="s">
        <v>13</v>
      </c>
      <c r="J768" s="5" t="s">
        <v>2347</v>
      </c>
    </row>
    <row r="769" spans="1:10" ht="409.6" x14ac:dyDescent="0.3">
      <c r="A769" s="5" t="str">
        <f>HYPERLINK("https://grants.gov/search-results-detail/344859","23-529")</f>
        <v>23-529</v>
      </c>
      <c r="B769" s="5" t="s">
        <v>2348</v>
      </c>
      <c r="C769" s="5" t="s">
        <v>32</v>
      </c>
      <c r="D769" s="5" t="s">
        <v>33</v>
      </c>
      <c r="E769" s="5"/>
      <c r="F769" s="8" t="s">
        <v>8</v>
      </c>
      <c r="G769" s="8">
        <v>500000</v>
      </c>
      <c r="H769" s="5">
        <v>20</v>
      </c>
      <c r="I769" s="5" t="s">
        <v>1814</v>
      </c>
      <c r="J769" s="5" t="s">
        <v>2349</v>
      </c>
    </row>
    <row r="770" spans="1:10" ht="409.6" x14ac:dyDescent="0.3">
      <c r="A770" s="5" t="str">
        <f>HYPERLINK("https://grants.gov/search-results-detail/343875","22-639")</f>
        <v>22-639</v>
      </c>
      <c r="B770" s="5" t="s">
        <v>2380</v>
      </c>
      <c r="C770" s="5" t="s">
        <v>32</v>
      </c>
      <c r="D770" s="5" t="s">
        <v>33</v>
      </c>
      <c r="E770" s="5"/>
      <c r="F770" s="8" t="s">
        <v>8</v>
      </c>
      <c r="G770" s="8">
        <v>202000</v>
      </c>
      <c r="H770" s="5"/>
      <c r="I770" s="5" t="s">
        <v>2381</v>
      </c>
      <c r="J770" s="5" t="s">
        <v>2382</v>
      </c>
    </row>
    <row r="771" spans="1:10" ht="374.4" x14ac:dyDescent="0.3">
      <c r="A771" s="5" t="str">
        <f>HYPERLINK("https://grants.gov/search-results-detail/341998","PD-22-8069")</f>
        <v>PD-22-8069</v>
      </c>
      <c r="B771" s="5" t="s">
        <v>2407</v>
      </c>
      <c r="C771" s="5" t="s">
        <v>32</v>
      </c>
      <c r="D771" s="5" t="s">
        <v>33</v>
      </c>
      <c r="E771" s="5"/>
      <c r="F771" s="8">
        <v>1000000</v>
      </c>
      <c r="G771" s="8">
        <v>20000</v>
      </c>
      <c r="H771" s="5">
        <v>20</v>
      </c>
      <c r="I771" s="5" t="s">
        <v>13</v>
      </c>
      <c r="J771" s="5" t="s">
        <v>2408</v>
      </c>
    </row>
    <row r="772" spans="1:10" ht="409.6" x14ac:dyDescent="0.3">
      <c r="A772" s="5" t="str">
        <f>HYPERLINK("https://grants.gov/search-results-detail/341244","22-606")</f>
        <v>22-606</v>
      </c>
      <c r="B772" s="5" t="s">
        <v>2411</v>
      </c>
      <c r="C772" s="5" t="s">
        <v>32</v>
      </c>
      <c r="D772" s="5" t="s">
        <v>33</v>
      </c>
      <c r="E772" s="5"/>
      <c r="F772" s="8" t="s">
        <v>8</v>
      </c>
      <c r="G772" s="8" t="s">
        <v>8</v>
      </c>
      <c r="H772" s="5"/>
      <c r="I772" s="5" t="s">
        <v>1814</v>
      </c>
      <c r="J772" s="5" t="s">
        <v>2412</v>
      </c>
    </row>
    <row r="773" spans="1:10" ht="288" x14ac:dyDescent="0.3">
      <c r="A773" s="5" t="str">
        <f>HYPERLINK("https://grants.gov/search-results-detail/339659","22-591")</f>
        <v>22-591</v>
      </c>
      <c r="B773" s="5" t="s">
        <v>2431</v>
      </c>
      <c r="C773" s="5" t="s">
        <v>32</v>
      </c>
      <c r="D773" s="5" t="s">
        <v>33</v>
      </c>
      <c r="E773" s="5"/>
      <c r="F773" s="8">
        <v>350000</v>
      </c>
      <c r="G773" s="8">
        <v>200000</v>
      </c>
      <c r="H773" s="5">
        <v>15</v>
      </c>
      <c r="I773" s="5" t="s">
        <v>1814</v>
      </c>
      <c r="J773" s="5" t="s">
        <v>2432</v>
      </c>
    </row>
    <row r="774" spans="1:10" ht="409.6" x14ac:dyDescent="0.3">
      <c r="A774" s="5" t="str">
        <f>HYPERLINK("https://grants.gov/search-results-detail/339008","PD-22-7569")</f>
        <v>PD-22-7569</v>
      </c>
      <c r="B774" s="5" t="s">
        <v>2435</v>
      </c>
      <c r="C774" s="5" t="s">
        <v>32</v>
      </c>
      <c r="D774" s="5" t="s">
        <v>33</v>
      </c>
      <c r="E774" s="5"/>
      <c r="F774" s="8" t="s">
        <v>8</v>
      </c>
      <c r="G774" s="8" t="s">
        <v>8</v>
      </c>
      <c r="H774" s="5"/>
      <c r="I774" s="5" t="s">
        <v>13</v>
      </c>
      <c r="J774" s="5" t="s">
        <v>2436</v>
      </c>
    </row>
    <row r="775" spans="1:10" ht="409.6" x14ac:dyDescent="0.3">
      <c r="A775" s="5" t="str">
        <f>HYPERLINK("https://grants.gov/search-results-detail/338558","PD-22-1529")</f>
        <v>PD-22-1529</v>
      </c>
      <c r="B775" s="5" t="s">
        <v>2437</v>
      </c>
      <c r="C775" s="5" t="s">
        <v>32</v>
      </c>
      <c r="D775" s="5" t="s">
        <v>33</v>
      </c>
      <c r="E775" s="5"/>
      <c r="F775" s="8" t="s">
        <v>8</v>
      </c>
      <c r="G775" s="8" t="s">
        <v>8</v>
      </c>
      <c r="H775" s="5"/>
      <c r="I775" s="5" t="s">
        <v>13</v>
      </c>
      <c r="J775" s="5" t="s">
        <v>2438</v>
      </c>
    </row>
    <row r="776" spans="1:10" ht="409.6" x14ac:dyDescent="0.3">
      <c r="A776" s="5" t="str">
        <f>HYPERLINK("https://grants.gov/search-results-detail/338428","22-577")</f>
        <v>22-577</v>
      </c>
      <c r="B776" s="5" t="s">
        <v>2439</v>
      </c>
      <c r="C776" s="5" t="s">
        <v>32</v>
      </c>
      <c r="D776" s="5" t="s">
        <v>33</v>
      </c>
      <c r="E776" s="5"/>
      <c r="F776" s="8">
        <v>4000000</v>
      </c>
      <c r="G776" s="8">
        <v>1</v>
      </c>
      <c r="H776" s="5">
        <v>40</v>
      </c>
      <c r="I776" s="5" t="s">
        <v>2440</v>
      </c>
      <c r="J776" s="5" t="s">
        <v>2441</v>
      </c>
    </row>
    <row r="777" spans="1:10" ht="409.6" x14ac:dyDescent="0.3">
      <c r="A777" s="5" t="str">
        <f>HYPERLINK("https://grants.gov/search-results-detail/335724","21-621")</f>
        <v>21-621</v>
      </c>
      <c r="B777" s="5" t="s">
        <v>2479</v>
      </c>
      <c r="C777" s="5" t="s">
        <v>32</v>
      </c>
      <c r="D777" s="5" t="s">
        <v>33</v>
      </c>
      <c r="E777" s="5"/>
      <c r="F777" s="8">
        <v>20000</v>
      </c>
      <c r="G777" s="8" t="s">
        <v>8</v>
      </c>
      <c r="H777" s="5">
        <v>15</v>
      </c>
      <c r="I777" s="5" t="s">
        <v>2480</v>
      </c>
      <c r="J777" s="5" t="s">
        <v>2481</v>
      </c>
    </row>
    <row r="778" spans="1:10" ht="409.6" x14ac:dyDescent="0.3">
      <c r="A778" s="5" t="str">
        <f>HYPERLINK("https://grants.gov/search-results-detail/332012","PD-21-7700")</f>
        <v>PD-21-7700</v>
      </c>
      <c r="B778" s="5" t="s">
        <v>2523</v>
      </c>
      <c r="C778" s="5" t="s">
        <v>32</v>
      </c>
      <c r="D778" s="5" t="s">
        <v>33</v>
      </c>
      <c r="E778" s="5"/>
      <c r="F778" s="8" t="s">
        <v>8</v>
      </c>
      <c r="G778" s="8" t="s">
        <v>8</v>
      </c>
      <c r="H778" s="5"/>
      <c r="I778" s="5" t="s">
        <v>13</v>
      </c>
      <c r="J778" s="5" t="s">
        <v>2524</v>
      </c>
    </row>
    <row r="779" spans="1:10" ht="409.6" x14ac:dyDescent="0.3">
      <c r="A779" s="5" t="str">
        <f>HYPERLINK("https://grants.gov/search-results-detail/330934","21-552")</f>
        <v>21-552</v>
      </c>
      <c r="B779" s="5" t="s">
        <v>2534</v>
      </c>
      <c r="C779" s="5" t="s">
        <v>32</v>
      </c>
      <c r="D779" s="5" t="s">
        <v>33</v>
      </c>
      <c r="E779" s="5"/>
      <c r="F779" s="8" t="s">
        <v>8</v>
      </c>
      <c r="G779" s="8">
        <v>50000</v>
      </c>
      <c r="H779" s="5">
        <v>255</v>
      </c>
      <c r="I779" s="5" t="s">
        <v>2535</v>
      </c>
      <c r="J779" s="5" t="s">
        <v>2536</v>
      </c>
    </row>
    <row r="780" spans="1:10" ht="409.6" x14ac:dyDescent="0.3">
      <c r="A780" s="5" t="str">
        <f>HYPERLINK("https://grants.gov/search-results-detail/330296","21-544")</f>
        <v>21-544</v>
      </c>
      <c r="B780" s="5" t="s">
        <v>2544</v>
      </c>
      <c r="C780" s="5" t="s">
        <v>32</v>
      </c>
      <c r="D780" s="5" t="s">
        <v>33</v>
      </c>
      <c r="E780" s="5"/>
      <c r="F780" s="8">
        <v>600000</v>
      </c>
      <c r="G780" s="8" t="s">
        <v>8</v>
      </c>
      <c r="H780" s="5"/>
      <c r="I780" s="5" t="s">
        <v>1814</v>
      </c>
      <c r="J780" s="5" t="s">
        <v>2545</v>
      </c>
    </row>
    <row r="781" spans="1:10" ht="288" x14ac:dyDescent="0.3">
      <c r="A781" s="5" t="str">
        <f>HYPERLINK("https://grants.gov/search-results-detail/330201","21-541")</f>
        <v>21-541</v>
      </c>
      <c r="B781" s="5" t="s">
        <v>2546</v>
      </c>
      <c r="C781" s="5" t="s">
        <v>32</v>
      </c>
      <c r="D781" s="5" t="s">
        <v>33</v>
      </c>
      <c r="E781" s="5"/>
      <c r="F781" s="8">
        <v>150000</v>
      </c>
      <c r="G781" s="8">
        <v>5000</v>
      </c>
      <c r="H781" s="5">
        <v>100</v>
      </c>
      <c r="I781" s="5" t="s">
        <v>1814</v>
      </c>
      <c r="J781" s="5" t="s">
        <v>2547</v>
      </c>
    </row>
    <row r="782" spans="1:10" ht="409.6" x14ac:dyDescent="0.3">
      <c r="A782" s="5" t="str">
        <f>HYPERLINK("https://grants.gov/search-results-detail/329329","21-508")</f>
        <v>21-508</v>
      </c>
      <c r="B782" s="5" t="s">
        <v>2560</v>
      </c>
      <c r="C782" s="5" t="s">
        <v>32</v>
      </c>
      <c r="D782" s="5" t="s">
        <v>33</v>
      </c>
      <c r="E782" s="5"/>
      <c r="F782" s="8" t="s">
        <v>8</v>
      </c>
      <c r="G782" s="8">
        <v>750000</v>
      </c>
      <c r="H782" s="5">
        <v>8</v>
      </c>
      <c r="I782" s="5" t="s">
        <v>13</v>
      </c>
      <c r="J782" s="5" t="s">
        <v>2561</v>
      </c>
    </row>
    <row r="783" spans="1:10" ht="288" x14ac:dyDescent="0.3">
      <c r="A783" s="5" t="str">
        <f>HYPERLINK("https://grants.gov/search-results-detail/329293","21-503")</f>
        <v>21-503</v>
      </c>
      <c r="B783" s="5" t="s">
        <v>2562</v>
      </c>
      <c r="C783" s="5" t="s">
        <v>32</v>
      </c>
      <c r="D783" s="5" t="s">
        <v>33</v>
      </c>
      <c r="E783" s="5"/>
      <c r="F783" s="8" t="s">
        <v>8</v>
      </c>
      <c r="G783" s="8" t="s">
        <v>8</v>
      </c>
      <c r="H783" s="5">
        <v>3</v>
      </c>
      <c r="I783" s="5" t="s">
        <v>1814</v>
      </c>
      <c r="J783" s="5" t="s">
        <v>2563</v>
      </c>
    </row>
    <row r="784" spans="1:10" ht="409.6" x14ac:dyDescent="0.3">
      <c r="A784" s="5" t="str">
        <f>HYPERLINK("https://grants.gov/search-results-detail/328270","20-586")</f>
        <v>20-586</v>
      </c>
      <c r="B784" s="5" t="s">
        <v>2566</v>
      </c>
      <c r="C784" s="5" t="s">
        <v>32</v>
      </c>
      <c r="D784" s="5" t="s">
        <v>33</v>
      </c>
      <c r="E784" s="5"/>
      <c r="F784" s="8">
        <v>300000</v>
      </c>
      <c r="G784" s="8">
        <v>250000</v>
      </c>
      <c r="H784" s="5">
        <v>4</v>
      </c>
      <c r="I784" s="5" t="s">
        <v>2567</v>
      </c>
      <c r="J784" s="5" t="s">
        <v>2568</v>
      </c>
    </row>
    <row r="785" spans="1:10" ht="409.6" x14ac:dyDescent="0.3">
      <c r="A785" s="5" t="str">
        <f>HYPERLINK("https://grants.gov/search-results-detail/327047","20-576")</f>
        <v>20-576</v>
      </c>
      <c r="B785" s="5" t="s">
        <v>2574</v>
      </c>
      <c r="C785" s="5" t="s">
        <v>32</v>
      </c>
      <c r="D785" s="5" t="s">
        <v>33</v>
      </c>
      <c r="E785" s="5"/>
      <c r="F785" s="8" t="s">
        <v>8</v>
      </c>
      <c r="G785" s="8" t="s">
        <v>8</v>
      </c>
      <c r="H785" s="5">
        <v>30</v>
      </c>
      <c r="I785" s="5" t="s">
        <v>2575</v>
      </c>
      <c r="J785" s="5" t="s">
        <v>2576</v>
      </c>
    </row>
    <row r="786" spans="1:10" ht="409.6" x14ac:dyDescent="0.3">
      <c r="A786" s="5" t="str">
        <f>HYPERLINK("https://grants.gov/search-results-detail/324369","PD-20-144Y")</f>
        <v>PD-20-144Y</v>
      </c>
      <c r="B786" s="5" t="s">
        <v>2606</v>
      </c>
      <c r="C786" s="5" t="s">
        <v>32</v>
      </c>
      <c r="D786" s="5" t="s">
        <v>33</v>
      </c>
      <c r="E786" s="5"/>
      <c r="F786" s="8" t="s">
        <v>8</v>
      </c>
      <c r="G786" s="8" t="s">
        <v>8</v>
      </c>
      <c r="H786" s="5"/>
      <c r="I786" s="5" t="s">
        <v>13</v>
      </c>
      <c r="J786" s="5" t="s">
        <v>2607</v>
      </c>
    </row>
    <row r="787" spans="1:10" ht="409.6" x14ac:dyDescent="0.3">
      <c r="A787" s="5" t="str">
        <f>HYPERLINK("https://grants.gov/search-results-detail/322053","20-510")</f>
        <v>20-510</v>
      </c>
      <c r="B787" s="5" t="s">
        <v>2618</v>
      </c>
      <c r="C787" s="5" t="s">
        <v>32</v>
      </c>
      <c r="D787" s="5" t="s">
        <v>33</v>
      </c>
      <c r="E787" s="5"/>
      <c r="F787" s="8" t="s">
        <v>8</v>
      </c>
      <c r="G787" s="8" t="s">
        <v>8</v>
      </c>
      <c r="H787" s="5">
        <v>10</v>
      </c>
      <c r="I787" s="5" t="s">
        <v>2619</v>
      </c>
      <c r="J787" s="5" t="s">
        <v>2620</v>
      </c>
    </row>
    <row r="788" spans="1:10" ht="409.6" x14ac:dyDescent="0.3">
      <c r="A788" s="5" t="str">
        <f>HYPERLINK("https://grants.gov/search-results-detail/320536","PD-20-7909")</f>
        <v>PD-20-7909</v>
      </c>
      <c r="B788" s="5" t="s">
        <v>2625</v>
      </c>
      <c r="C788" s="5" t="s">
        <v>32</v>
      </c>
      <c r="D788" s="5" t="s">
        <v>33</v>
      </c>
      <c r="E788" s="5"/>
      <c r="F788" s="8" t="s">
        <v>8</v>
      </c>
      <c r="G788" s="8" t="s">
        <v>8</v>
      </c>
      <c r="H788" s="5"/>
      <c r="I788" s="5" t="s">
        <v>13</v>
      </c>
      <c r="J788" s="5" t="s">
        <v>2626</v>
      </c>
    </row>
    <row r="789" spans="1:10" ht="409.6" x14ac:dyDescent="0.3">
      <c r="A789" s="5" t="str">
        <f>HYPERLINK("https://grants.gov/search-results-detail/320490","PD-20-1440")</f>
        <v>PD-20-1440</v>
      </c>
      <c r="B789" s="5" t="s">
        <v>2627</v>
      </c>
      <c r="C789" s="5" t="s">
        <v>32</v>
      </c>
      <c r="D789" s="5" t="s">
        <v>33</v>
      </c>
      <c r="E789" s="5"/>
      <c r="F789" s="8" t="s">
        <v>8</v>
      </c>
      <c r="G789" s="8" t="s">
        <v>8</v>
      </c>
      <c r="H789" s="5">
        <v>103</v>
      </c>
      <c r="I789" s="5" t="s">
        <v>13</v>
      </c>
      <c r="J789" s="5" t="s">
        <v>2628</v>
      </c>
    </row>
    <row r="790" spans="1:10" ht="259.2" x14ac:dyDescent="0.3">
      <c r="A790" s="5" t="str">
        <f>HYPERLINK("https://grants.gov/search-results-detail/314126","19-570")</f>
        <v>19-570</v>
      </c>
      <c r="B790" s="5" t="s">
        <v>2645</v>
      </c>
      <c r="C790" s="5" t="s">
        <v>32</v>
      </c>
      <c r="D790" s="5" t="s">
        <v>33</v>
      </c>
      <c r="E790" s="5"/>
      <c r="F790" s="8">
        <v>35000</v>
      </c>
      <c r="G790" s="8" t="s">
        <v>8</v>
      </c>
      <c r="H790" s="5">
        <v>5</v>
      </c>
      <c r="I790" s="5" t="s">
        <v>13</v>
      </c>
      <c r="J790" s="5" t="s">
        <v>2646</v>
      </c>
    </row>
    <row r="791" spans="1:10" ht="409.6" x14ac:dyDescent="0.3">
      <c r="A791" s="5" t="str">
        <f>HYPERLINK("https://grants.gov/search-results-detail/308873","PD-18-7222")</f>
        <v>PD-18-7222</v>
      </c>
      <c r="B791" s="5" t="s">
        <v>2663</v>
      </c>
      <c r="C791" s="5" t="s">
        <v>32</v>
      </c>
      <c r="D791" s="5" t="s">
        <v>33</v>
      </c>
      <c r="E791" s="5"/>
      <c r="F791" s="8" t="s">
        <v>8</v>
      </c>
      <c r="G791" s="8" t="s">
        <v>8</v>
      </c>
      <c r="H791" s="5">
        <v>100</v>
      </c>
      <c r="I791" s="5" t="s">
        <v>13</v>
      </c>
      <c r="J791" s="5" t="s">
        <v>2664</v>
      </c>
    </row>
    <row r="792" spans="1:10" ht="409.6" x14ac:dyDescent="0.3">
      <c r="A792" s="5" t="str">
        <f>HYPERLINK("https://grants.gov/search-results-detail/306824","PD-19-088Y")</f>
        <v>PD-19-088Y</v>
      </c>
      <c r="B792" s="5" t="s">
        <v>2665</v>
      </c>
      <c r="C792" s="5" t="s">
        <v>32</v>
      </c>
      <c r="D792" s="5" t="s">
        <v>33</v>
      </c>
      <c r="E792" s="5"/>
      <c r="F792" s="8" t="s">
        <v>8</v>
      </c>
      <c r="G792" s="8" t="s">
        <v>8</v>
      </c>
      <c r="H792" s="5"/>
      <c r="I792" s="5" t="s">
        <v>13</v>
      </c>
      <c r="J792" s="5" t="s">
        <v>2666</v>
      </c>
    </row>
    <row r="793" spans="1:10" ht="403.2" x14ac:dyDescent="0.3">
      <c r="A793" s="5" t="str">
        <f>HYPERLINK("https://grants.gov/search-results-detail/306167","PD-19-006Y")</f>
        <v>PD-19-006Y</v>
      </c>
      <c r="B793" s="5" t="s">
        <v>2667</v>
      </c>
      <c r="C793" s="5" t="s">
        <v>32</v>
      </c>
      <c r="D793" s="5" t="s">
        <v>33</v>
      </c>
      <c r="E793" s="5"/>
      <c r="F793" s="8" t="s">
        <v>8</v>
      </c>
      <c r="G793" s="8" t="s">
        <v>8</v>
      </c>
      <c r="H793" s="5"/>
      <c r="I793" s="5" t="s">
        <v>13</v>
      </c>
      <c r="J793" s="5" t="s">
        <v>2668</v>
      </c>
    </row>
    <row r="794" spans="1:10" ht="409.6" x14ac:dyDescent="0.3">
      <c r="A794" s="5" t="str">
        <f>HYPERLINK("https://grants.gov/search-results-detail/306169","PD-19-073Y")</f>
        <v>PD-19-073Y</v>
      </c>
      <c r="B794" s="5" t="s">
        <v>2669</v>
      </c>
      <c r="C794" s="5" t="s">
        <v>32</v>
      </c>
      <c r="D794" s="5" t="s">
        <v>33</v>
      </c>
      <c r="E794" s="5"/>
      <c r="F794" s="8" t="s">
        <v>8</v>
      </c>
      <c r="G794" s="8" t="s">
        <v>8</v>
      </c>
      <c r="H794" s="5"/>
      <c r="I794" s="5" t="s">
        <v>13</v>
      </c>
      <c r="J794" s="5" t="s">
        <v>2670</v>
      </c>
    </row>
    <row r="795" spans="1:10" ht="409.6" x14ac:dyDescent="0.3">
      <c r="A795" s="5" t="str">
        <f>HYPERLINK("https://grants.gov/search-results-detail/306170","PD-19-072Y")</f>
        <v>PD-19-072Y</v>
      </c>
      <c r="B795" s="5" t="s">
        <v>2671</v>
      </c>
      <c r="C795" s="5" t="s">
        <v>32</v>
      </c>
      <c r="D795" s="5" t="s">
        <v>33</v>
      </c>
      <c r="E795" s="5"/>
      <c r="F795" s="8" t="s">
        <v>8</v>
      </c>
      <c r="G795" s="8" t="s">
        <v>8</v>
      </c>
      <c r="H795" s="5"/>
      <c r="I795" s="5" t="s">
        <v>13</v>
      </c>
      <c r="J795" s="5" t="s">
        <v>2672</v>
      </c>
    </row>
    <row r="796" spans="1:10" ht="409.6" x14ac:dyDescent="0.3">
      <c r="A796" s="5" t="str">
        <f>HYPERLINK("https://grants.gov/search-results-detail/306171","PD-19-7479")</f>
        <v>PD-19-7479</v>
      </c>
      <c r="B796" s="5" t="s">
        <v>2673</v>
      </c>
      <c r="C796" s="5" t="s">
        <v>32</v>
      </c>
      <c r="D796" s="5" t="s">
        <v>33</v>
      </c>
      <c r="E796" s="5"/>
      <c r="F796" s="8">
        <v>400000</v>
      </c>
      <c r="G796" s="8">
        <v>5000</v>
      </c>
      <c r="H796" s="5"/>
      <c r="I796" s="5" t="s">
        <v>13</v>
      </c>
      <c r="J796" s="5" t="s">
        <v>2674</v>
      </c>
    </row>
    <row r="797" spans="1:10" ht="409.6" x14ac:dyDescent="0.3">
      <c r="A797" s="5" t="str">
        <f>HYPERLINK("https://grants.gov/search-results-detail/306172","PD-19-1630")</f>
        <v>PD-19-1630</v>
      </c>
      <c r="B797" s="5" t="s">
        <v>2675</v>
      </c>
      <c r="C797" s="5" t="s">
        <v>32</v>
      </c>
      <c r="D797" s="5" t="s">
        <v>33</v>
      </c>
      <c r="E797" s="5"/>
      <c r="F797" s="8" t="s">
        <v>8</v>
      </c>
      <c r="G797" s="8" t="s">
        <v>8</v>
      </c>
      <c r="H797" s="5"/>
      <c r="I797" s="5" t="s">
        <v>13</v>
      </c>
      <c r="J797" s="5" t="s">
        <v>2676</v>
      </c>
    </row>
    <row r="798" spans="1:10" ht="409.6" x14ac:dyDescent="0.3">
      <c r="A798" s="5" t="str">
        <f>HYPERLINK("https://grants.gov/search-results-detail/306193","PD-19-1631")</f>
        <v>PD-19-1631</v>
      </c>
      <c r="B798" s="5" t="s">
        <v>2677</v>
      </c>
      <c r="C798" s="5" t="s">
        <v>32</v>
      </c>
      <c r="D798" s="5" t="s">
        <v>33</v>
      </c>
      <c r="E798" s="5"/>
      <c r="F798" s="8" t="s">
        <v>8</v>
      </c>
      <c r="G798" s="8" t="s">
        <v>8</v>
      </c>
      <c r="H798" s="5"/>
      <c r="I798" s="5" t="s">
        <v>13</v>
      </c>
      <c r="J798" s="5" t="s">
        <v>2678</v>
      </c>
    </row>
    <row r="799" spans="1:10" ht="409.6" x14ac:dyDescent="0.3">
      <c r="A799" s="5" t="str">
        <f>HYPERLINK("https://grants.gov/search-results-detail/306194","PD-19-1638")</f>
        <v>PD-19-1638</v>
      </c>
      <c r="B799" s="5" t="s">
        <v>2679</v>
      </c>
      <c r="C799" s="5" t="s">
        <v>32</v>
      </c>
      <c r="D799" s="5" t="s">
        <v>33</v>
      </c>
      <c r="E799" s="5"/>
      <c r="F799" s="8" t="s">
        <v>8</v>
      </c>
      <c r="G799" s="8" t="s">
        <v>8</v>
      </c>
      <c r="H799" s="5"/>
      <c r="I799" s="5" t="s">
        <v>13</v>
      </c>
      <c r="J799" s="5" t="s">
        <v>2680</v>
      </c>
    </row>
    <row r="800" spans="1:10" ht="331.2" x14ac:dyDescent="0.3">
      <c r="A800" s="5" t="str">
        <f>HYPERLINK("https://grants.gov/search-results-detail/304553","18-556")</f>
        <v>18-556</v>
      </c>
      <c r="B800" s="5" t="s">
        <v>2686</v>
      </c>
      <c r="C800" s="5" t="s">
        <v>32</v>
      </c>
      <c r="D800" s="5" t="s">
        <v>33</v>
      </c>
      <c r="E800" s="5"/>
      <c r="F800" s="8" t="s">
        <v>8</v>
      </c>
      <c r="G800" s="8" t="s">
        <v>8</v>
      </c>
      <c r="H800" s="5">
        <v>10</v>
      </c>
      <c r="I800" s="5" t="s">
        <v>13</v>
      </c>
      <c r="J800" s="5" t="s">
        <v>2687</v>
      </c>
    </row>
    <row r="801" spans="1:10" ht="409.6" x14ac:dyDescent="0.3">
      <c r="A801" s="5" t="str">
        <f>HYPERLINK("https://grants.gov/search-results-detail/295449","PD-17-1620")</f>
        <v>PD-17-1620</v>
      </c>
      <c r="B801" s="5" t="s">
        <v>2719</v>
      </c>
      <c r="C801" s="5" t="s">
        <v>32</v>
      </c>
      <c r="D801" s="5" t="s">
        <v>33</v>
      </c>
      <c r="E801" s="5"/>
      <c r="F801" s="8" t="s">
        <v>8</v>
      </c>
      <c r="G801" s="8" t="s">
        <v>8</v>
      </c>
      <c r="H801" s="5"/>
      <c r="I801" s="5" t="s">
        <v>13</v>
      </c>
      <c r="J801" s="5" t="s">
        <v>2720</v>
      </c>
    </row>
    <row r="802" spans="1:10" ht="259.2" x14ac:dyDescent="0.3">
      <c r="A802" s="5" t="str">
        <f>HYPERLINK("https://grants.gov/search-results-detail/275109","PD-05-1743")</f>
        <v>PD-05-1743</v>
      </c>
      <c r="B802" s="5" t="s">
        <v>2764</v>
      </c>
      <c r="C802" s="5" t="s">
        <v>32</v>
      </c>
      <c r="D802" s="5" t="s">
        <v>33</v>
      </c>
      <c r="E802" s="5"/>
      <c r="F802" s="8" t="s">
        <v>8</v>
      </c>
      <c r="G802" s="8" t="s">
        <v>8</v>
      </c>
      <c r="H802" s="5"/>
      <c r="I802" s="5" t="s">
        <v>13</v>
      </c>
      <c r="J802" s="5" t="s">
        <v>2765</v>
      </c>
    </row>
    <row r="803" spans="1:10" ht="409.6" x14ac:dyDescent="0.3">
      <c r="A803" s="5" t="str">
        <f>HYPERLINK("https://grants.gov/search-results-detail/258835","14-579")</f>
        <v>14-579</v>
      </c>
      <c r="B803" s="5" t="s">
        <v>2785</v>
      </c>
      <c r="C803" s="5" t="s">
        <v>32</v>
      </c>
      <c r="D803" s="5" t="s">
        <v>33</v>
      </c>
      <c r="E803" s="5"/>
      <c r="F803" s="8" t="s">
        <v>8</v>
      </c>
      <c r="G803" s="8" t="s">
        <v>8</v>
      </c>
      <c r="H803" s="5"/>
      <c r="I803" s="5" t="s">
        <v>2786</v>
      </c>
      <c r="J803" s="5" t="s">
        <v>2787</v>
      </c>
    </row>
    <row r="804" spans="1:10" ht="409.6" x14ac:dyDescent="0.3">
      <c r="A804" s="5" t="str">
        <f>HYPERLINK("https://grants.gov/search-results-detail/254073","PD-14-5720")</f>
        <v>PD-14-5720</v>
      </c>
      <c r="B804" s="5" t="s">
        <v>2788</v>
      </c>
      <c r="C804" s="5" t="s">
        <v>32</v>
      </c>
      <c r="D804" s="5" t="s">
        <v>33</v>
      </c>
      <c r="E804" s="5"/>
      <c r="F804" s="8" t="s">
        <v>8</v>
      </c>
      <c r="G804" s="8">
        <v>300000</v>
      </c>
      <c r="H804" s="5"/>
      <c r="I804" s="5" t="s">
        <v>13</v>
      </c>
      <c r="J804" s="5" t="s">
        <v>2789</v>
      </c>
    </row>
    <row r="805" spans="1:10" ht="259.2" x14ac:dyDescent="0.3">
      <c r="A805" s="5" t="str">
        <f>HYPERLINK("https://grants.gov/search-results-detail/107113","11-066")</f>
        <v>11-066</v>
      </c>
      <c r="B805" s="5" t="s">
        <v>2833</v>
      </c>
      <c r="C805" s="5" t="s">
        <v>32</v>
      </c>
      <c r="D805" s="5" t="s">
        <v>33</v>
      </c>
      <c r="E805" s="5"/>
      <c r="F805" s="8" t="s">
        <v>8</v>
      </c>
      <c r="G805" s="8" t="s">
        <v>8</v>
      </c>
      <c r="H805" s="5">
        <v>20</v>
      </c>
      <c r="I805" s="5" t="s">
        <v>2834</v>
      </c>
      <c r="J805" s="5" t="s">
        <v>2835</v>
      </c>
    </row>
    <row r="806" spans="1:10" ht="201.6" x14ac:dyDescent="0.3">
      <c r="A806" s="5" t="str">
        <f>HYPERLINK("https://grants.gov/search-results-detail/50283","PD-09-5761")</f>
        <v>PD-09-5761</v>
      </c>
      <c r="B806" s="5" t="s">
        <v>2859</v>
      </c>
      <c r="C806" s="5" t="s">
        <v>32</v>
      </c>
      <c r="D806" s="5" t="s">
        <v>33</v>
      </c>
      <c r="E806" s="5"/>
      <c r="F806" s="8" t="s">
        <v>8</v>
      </c>
      <c r="G806" s="8" t="s">
        <v>8</v>
      </c>
      <c r="H806" s="5">
        <v>0</v>
      </c>
      <c r="I806" s="5" t="s">
        <v>13</v>
      </c>
      <c r="J806" s="5" t="s">
        <v>2860</v>
      </c>
    </row>
    <row r="807" spans="1:10" ht="409.6" x14ac:dyDescent="0.3">
      <c r="A807" s="5" t="str">
        <f>HYPERLINK("https://grants.gov/search-results-detail/45810","PD-98-1331")</f>
        <v>PD-98-1331</v>
      </c>
      <c r="B807" s="5" t="s">
        <v>2866</v>
      </c>
      <c r="C807" s="5" t="s">
        <v>32</v>
      </c>
      <c r="D807" s="5" t="s">
        <v>33</v>
      </c>
      <c r="E807" s="5"/>
      <c r="F807" s="8" t="s">
        <v>8</v>
      </c>
      <c r="G807" s="8" t="s">
        <v>8</v>
      </c>
      <c r="H807" s="5"/>
      <c r="I807" s="5" t="s">
        <v>13</v>
      </c>
      <c r="J807" s="5" t="s">
        <v>2867</v>
      </c>
    </row>
    <row r="808" spans="1:10" ht="409.6" x14ac:dyDescent="0.3">
      <c r="A808" s="5" t="str">
        <f>HYPERLINK("https://grants.gov/search-results-detail/45657","04-563")</f>
        <v>04-563</v>
      </c>
      <c r="B808" s="5" t="s">
        <v>2879</v>
      </c>
      <c r="C808" s="5" t="s">
        <v>32</v>
      </c>
      <c r="D808" s="5" t="s">
        <v>33</v>
      </c>
      <c r="E808" s="5"/>
      <c r="F808" s="8" t="s">
        <v>8</v>
      </c>
      <c r="G808" s="8" t="s">
        <v>8</v>
      </c>
      <c r="H808" s="5"/>
      <c r="I808" s="5" t="s">
        <v>2880</v>
      </c>
      <c r="J808" s="5" t="s">
        <v>2881</v>
      </c>
    </row>
    <row r="809" spans="1:10" ht="244.8" x14ac:dyDescent="0.3">
      <c r="A809" s="5" t="str">
        <f>HYPERLINK("https://grants.gov/search-results-detail/356392","DE-FOA-0003444")</f>
        <v>DE-FOA-0003444</v>
      </c>
      <c r="B809" s="5" t="s">
        <v>1891</v>
      </c>
      <c r="C809" s="5" t="s">
        <v>928</v>
      </c>
      <c r="D809" s="5" t="s">
        <v>929</v>
      </c>
      <c r="E809" s="6">
        <v>45686</v>
      </c>
      <c r="F809" s="8">
        <v>5000000</v>
      </c>
      <c r="G809" s="8">
        <v>3000000</v>
      </c>
      <c r="H809" s="5"/>
      <c r="I809" s="5" t="s">
        <v>1892</v>
      </c>
      <c r="J809" s="5" t="s">
        <v>1893</v>
      </c>
    </row>
    <row r="810" spans="1:10" ht="409.6" x14ac:dyDescent="0.3">
      <c r="A810" s="5" t="str">
        <f>HYPERLINK("https://grants.gov/search-results-detail/356709","DE-FOA-0003452")</f>
        <v>DE-FOA-0003452</v>
      </c>
      <c r="B810" s="5" t="s">
        <v>1739</v>
      </c>
      <c r="C810" s="5" t="s">
        <v>928</v>
      </c>
      <c r="D810" s="5" t="s">
        <v>929</v>
      </c>
      <c r="E810" s="6">
        <v>45698</v>
      </c>
      <c r="F810" s="8">
        <v>3000000</v>
      </c>
      <c r="G810" s="8">
        <v>750000</v>
      </c>
      <c r="H810" s="5">
        <v>10</v>
      </c>
      <c r="I810" s="5" t="s">
        <v>1740</v>
      </c>
      <c r="J810" s="5" t="s">
        <v>1741</v>
      </c>
    </row>
    <row r="811" spans="1:10" ht="409.6" x14ac:dyDescent="0.3">
      <c r="A811" s="5" t="str">
        <f>HYPERLINK("https://grants.gov/search-results-detail/356896","DE-FOA-0003464")</f>
        <v>DE-FOA-0003464</v>
      </c>
      <c r="B811" s="5" t="s">
        <v>1589</v>
      </c>
      <c r="C811" s="5" t="s">
        <v>928</v>
      </c>
      <c r="D811" s="5" t="s">
        <v>929</v>
      </c>
      <c r="E811" s="6">
        <v>45708</v>
      </c>
      <c r="F811" s="8">
        <v>1000000</v>
      </c>
      <c r="G811" s="8">
        <v>100000</v>
      </c>
      <c r="H811" s="5"/>
      <c r="I811" s="5" t="s">
        <v>1590</v>
      </c>
      <c r="J811" s="5" t="s">
        <v>1591</v>
      </c>
    </row>
    <row r="812" spans="1:10" ht="409.6" x14ac:dyDescent="0.3">
      <c r="A812" s="5" t="str">
        <f>HYPERLINK("https://grants.gov/search-results-detail/356957","DE-FOA-0003484")</f>
        <v>DE-FOA-0003484</v>
      </c>
      <c r="B812" s="5" t="s">
        <v>1566</v>
      </c>
      <c r="C812" s="5" t="s">
        <v>928</v>
      </c>
      <c r="D812" s="5" t="s">
        <v>929</v>
      </c>
      <c r="E812" s="6">
        <v>45715</v>
      </c>
      <c r="F812" s="8">
        <v>975000</v>
      </c>
      <c r="G812" s="8">
        <v>200000</v>
      </c>
      <c r="H812" s="5"/>
      <c r="I812" s="5" t="s">
        <v>1567</v>
      </c>
      <c r="J812" s="5" t="s">
        <v>1568</v>
      </c>
    </row>
    <row r="813" spans="1:10" ht="144" x14ac:dyDescent="0.3">
      <c r="A813" s="5" t="str">
        <f>HYPERLINK("https://grants.gov/search-results-detail/357452","DE-FOA-0003498")</f>
        <v>DE-FOA-0003498</v>
      </c>
      <c r="B813" s="5" t="s">
        <v>1147</v>
      </c>
      <c r="C813" s="5" t="s">
        <v>928</v>
      </c>
      <c r="D813" s="5" t="s">
        <v>929</v>
      </c>
      <c r="E813" s="6">
        <v>45719</v>
      </c>
      <c r="F813" s="8">
        <v>1000000</v>
      </c>
      <c r="G813" s="8">
        <v>100000</v>
      </c>
      <c r="H813" s="5"/>
      <c r="I813" s="5" t="s">
        <v>13</v>
      </c>
      <c r="J813" s="5" t="s">
        <v>1148</v>
      </c>
    </row>
    <row r="814" spans="1:10" ht="409.6" x14ac:dyDescent="0.3">
      <c r="A814" s="5" t="str">
        <f>HYPERLINK("https://grants.gov/search-results-detail/356977","DE-FOA-0003475")</f>
        <v>DE-FOA-0003475</v>
      </c>
      <c r="B814" s="5" t="s">
        <v>1552</v>
      </c>
      <c r="C814" s="5" t="s">
        <v>928</v>
      </c>
      <c r="D814" s="5" t="s">
        <v>929</v>
      </c>
      <c r="E814" s="6">
        <v>45729</v>
      </c>
      <c r="F814" s="8">
        <v>1000000</v>
      </c>
      <c r="G814" s="8">
        <v>100000</v>
      </c>
      <c r="H814" s="5"/>
      <c r="I814" s="5" t="s">
        <v>1553</v>
      </c>
      <c r="J814" s="5" t="s">
        <v>1554</v>
      </c>
    </row>
    <row r="815" spans="1:10" ht="409.6" x14ac:dyDescent="0.3">
      <c r="A815" s="5" t="str">
        <f>HYPERLINK("https://grants.gov/search-results-detail/357662","DE-FOA-0003453")</f>
        <v>DE-FOA-0003453</v>
      </c>
      <c r="B815" s="5" t="s">
        <v>927</v>
      </c>
      <c r="C815" s="5" t="s">
        <v>928</v>
      </c>
      <c r="D815" s="5" t="s">
        <v>929</v>
      </c>
      <c r="E815" s="6">
        <v>45742</v>
      </c>
      <c r="F815" s="8">
        <v>15000000</v>
      </c>
      <c r="G815" s="8">
        <v>5000000</v>
      </c>
      <c r="H815" s="5"/>
      <c r="I815" s="5" t="s">
        <v>930</v>
      </c>
      <c r="J815" s="5" t="s">
        <v>931</v>
      </c>
    </row>
    <row r="816" spans="1:10" ht="288" x14ac:dyDescent="0.3">
      <c r="A816" s="5" t="str">
        <f>HYPERLINK("https://grants.gov/search-results-detail/358068","7200AA25RFITBD")</f>
        <v>7200AA25RFITBD</v>
      </c>
      <c r="B816" s="5" t="s">
        <v>596</v>
      </c>
      <c r="C816" s="5" t="s">
        <v>211</v>
      </c>
      <c r="D816" s="5" t="s">
        <v>212</v>
      </c>
      <c r="E816" s="6">
        <v>45679</v>
      </c>
      <c r="F816" s="8">
        <v>0</v>
      </c>
      <c r="G816" s="8">
        <v>0</v>
      </c>
      <c r="H816" s="5"/>
      <c r="I816" s="5" t="s">
        <v>13</v>
      </c>
      <c r="J816" s="5" t="s">
        <v>597</v>
      </c>
    </row>
    <row r="817" spans="1:10" ht="115.2" x14ac:dyDescent="0.3">
      <c r="A817" s="5" t="str">
        <f>HYPERLINK("https://grants.gov/search-results-detail/357706","72060525RFA00001")</f>
        <v>72060525RFA00001</v>
      </c>
      <c r="B817" s="5" t="s">
        <v>824</v>
      </c>
      <c r="C817" s="5" t="s">
        <v>211</v>
      </c>
      <c r="D817" s="5" t="s">
        <v>212</v>
      </c>
      <c r="E817" s="6">
        <v>45684</v>
      </c>
      <c r="F817" s="8">
        <v>20000000</v>
      </c>
      <c r="G817" s="8">
        <v>15000000</v>
      </c>
      <c r="H817" s="5">
        <v>1</v>
      </c>
      <c r="I817" s="5" t="s">
        <v>13</v>
      </c>
      <c r="J817" s="5" t="s">
        <v>825</v>
      </c>
    </row>
    <row r="818" spans="1:10" ht="409.6" x14ac:dyDescent="0.3">
      <c r="A818" s="5" t="str">
        <f>HYPERLINK("https://grants.gov/search-results-detail/324279","BAA-OAA-E3-ENERGY-2020")</f>
        <v>BAA-OAA-E3-ENERGY-2020</v>
      </c>
      <c r="B818" s="5" t="s">
        <v>2608</v>
      </c>
      <c r="C818" s="5" t="s">
        <v>211</v>
      </c>
      <c r="D818" s="5" t="s">
        <v>212</v>
      </c>
      <c r="E818" s="6">
        <v>45693</v>
      </c>
      <c r="F818" s="8" t="s">
        <v>8</v>
      </c>
      <c r="G818" s="8" t="s">
        <v>8</v>
      </c>
      <c r="H818" s="5"/>
      <c r="I818" s="5" t="s">
        <v>13</v>
      </c>
      <c r="J818" s="5" t="s">
        <v>2609</v>
      </c>
    </row>
    <row r="819" spans="1:10" ht="409.6" x14ac:dyDescent="0.3">
      <c r="A819" s="5" t="str">
        <f>HYPERLINK("https://grants.gov/search-results-detail/275168","SOL-OAA-15-000054")</f>
        <v>SOL-OAA-15-000054</v>
      </c>
      <c r="B819" s="5" t="s">
        <v>2766</v>
      </c>
      <c r="C819" s="5" t="s">
        <v>211</v>
      </c>
      <c r="D819" s="5" t="s">
        <v>212</v>
      </c>
      <c r="E819" s="6">
        <v>45728</v>
      </c>
      <c r="F819" s="8">
        <v>55000000</v>
      </c>
      <c r="G819" s="8">
        <v>0</v>
      </c>
      <c r="H819" s="5">
        <v>3</v>
      </c>
      <c r="I819" s="5" t="s">
        <v>2767</v>
      </c>
      <c r="J819" s="5" t="s">
        <v>2768</v>
      </c>
    </row>
    <row r="820" spans="1:10" ht="172.8" x14ac:dyDescent="0.3">
      <c r="A820" s="5" t="str">
        <f>HYPERLINK("https://grants.gov/search-results-detail/353290","7200AA24APS00003")</f>
        <v>7200AA24APS00003</v>
      </c>
      <c r="B820" s="5" t="s">
        <v>2058</v>
      </c>
      <c r="C820" s="5" t="s">
        <v>211</v>
      </c>
      <c r="D820" s="5" t="s">
        <v>212</v>
      </c>
      <c r="E820" s="6">
        <v>45744</v>
      </c>
      <c r="F820" s="8">
        <v>0</v>
      </c>
      <c r="G820" s="8">
        <v>0</v>
      </c>
      <c r="H820" s="5"/>
      <c r="I820" s="5" t="s">
        <v>2059</v>
      </c>
      <c r="J820" s="5" t="s">
        <v>2060</v>
      </c>
    </row>
    <row r="821" spans="1:10" ht="409.6" x14ac:dyDescent="0.3">
      <c r="A821" s="5" t="str">
        <f>HYPERLINK("https://grants.gov/search-results-detail/325906","7200AA20APS00007")</f>
        <v>7200AA20APS00007</v>
      </c>
      <c r="B821" s="5" t="s">
        <v>2591</v>
      </c>
      <c r="C821" s="5" t="s">
        <v>211</v>
      </c>
      <c r="D821" s="5" t="s">
        <v>212</v>
      </c>
      <c r="E821" s="6">
        <v>45745</v>
      </c>
      <c r="F821" s="8">
        <v>50000000</v>
      </c>
      <c r="G821" s="8">
        <v>1000000</v>
      </c>
      <c r="H821" s="5"/>
      <c r="I821" s="5" t="s">
        <v>13</v>
      </c>
      <c r="J821" s="5" t="s">
        <v>2592</v>
      </c>
    </row>
    <row r="822" spans="1:10" ht="409.6" x14ac:dyDescent="0.3">
      <c r="A822" s="5" t="str">
        <f>HYPERLINK("https://grants.gov/search-results-detail/326056","7200AA20APS00009")</f>
        <v>7200AA20APS00009</v>
      </c>
      <c r="B822" s="5" t="s">
        <v>2586</v>
      </c>
      <c r="C822" s="5" t="s">
        <v>211</v>
      </c>
      <c r="D822" s="5" t="s">
        <v>212</v>
      </c>
      <c r="E822" s="6">
        <v>45749</v>
      </c>
      <c r="F822" s="8">
        <v>60000000</v>
      </c>
      <c r="G822" s="8">
        <v>1000000</v>
      </c>
      <c r="H822" s="5"/>
      <c r="I822" s="5" t="s">
        <v>13</v>
      </c>
      <c r="J822" s="5" t="s">
        <v>2587</v>
      </c>
    </row>
    <row r="823" spans="1:10" ht="409.6" x14ac:dyDescent="0.3">
      <c r="A823" s="5" t="str">
        <f>HYPERLINK("https://grants.gov/search-results-detail/353503","7200AA24APS00005")</f>
        <v>7200AA24APS00005</v>
      </c>
      <c r="B823" s="5" t="s">
        <v>2041</v>
      </c>
      <c r="C823" s="5" t="s">
        <v>211</v>
      </c>
      <c r="D823" s="5" t="s">
        <v>212</v>
      </c>
      <c r="E823" s="6">
        <v>45757</v>
      </c>
      <c r="F823" s="8">
        <v>45000000</v>
      </c>
      <c r="G823" s="8">
        <v>0</v>
      </c>
      <c r="H823" s="5"/>
      <c r="I823" s="5" t="s">
        <v>2042</v>
      </c>
      <c r="J823" s="5" t="s">
        <v>2043</v>
      </c>
    </row>
    <row r="824" spans="1:10" ht="409.6" x14ac:dyDescent="0.3">
      <c r="A824" s="5" t="str">
        <f>HYPERLINK("https://grants.gov/search-results-detail/314817","7200AA19APS00010")</f>
        <v>7200AA19APS00010</v>
      </c>
      <c r="B824" s="5" t="s">
        <v>2639</v>
      </c>
      <c r="C824" s="5" t="s">
        <v>211</v>
      </c>
      <c r="D824" s="5" t="s">
        <v>212</v>
      </c>
      <c r="E824" s="6">
        <v>45757</v>
      </c>
      <c r="F824" s="8">
        <v>0</v>
      </c>
      <c r="G824" s="8">
        <v>0</v>
      </c>
      <c r="H824" s="5"/>
      <c r="I824" s="5" t="s">
        <v>2640</v>
      </c>
      <c r="J824" s="5" t="s">
        <v>2641</v>
      </c>
    </row>
    <row r="825" spans="1:10" ht="144" x14ac:dyDescent="0.3">
      <c r="A825" s="5" t="str">
        <f>HYPERLINK("https://grants.gov/search-results-detail/357880","7201P125R00001")</f>
        <v>7201P125R00001</v>
      </c>
      <c r="B825" s="5" t="s">
        <v>210</v>
      </c>
      <c r="C825" s="5" t="s">
        <v>211</v>
      </c>
      <c r="D825" s="5" t="s">
        <v>212</v>
      </c>
      <c r="E825" s="5"/>
      <c r="F825" s="8">
        <v>2000000</v>
      </c>
      <c r="G825" s="8">
        <v>0</v>
      </c>
      <c r="H825" s="5"/>
      <c r="I825" s="5" t="s">
        <v>213</v>
      </c>
      <c r="J825" s="5" t="s">
        <v>214</v>
      </c>
    </row>
    <row r="826" spans="1:10" ht="409.6" x14ac:dyDescent="0.3">
      <c r="A826" s="5" t="str">
        <f>HYPERLINK("https://grants.gov/search-results-detail/356871","720BHA25RFA00001")</f>
        <v>720BHA25RFA00001</v>
      </c>
      <c r="B826" s="5" t="s">
        <v>1606</v>
      </c>
      <c r="C826" s="5" t="s">
        <v>211</v>
      </c>
      <c r="D826" s="5" t="s">
        <v>212</v>
      </c>
      <c r="E826" s="5"/>
      <c r="F826" s="8">
        <v>90000000</v>
      </c>
      <c r="G826" s="8">
        <v>90000000</v>
      </c>
      <c r="H826" s="5">
        <v>1</v>
      </c>
      <c r="I826" s="5" t="s">
        <v>1607</v>
      </c>
      <c r="J826" s="5" t="s">
        <v>1608</v>
      </c>
    </row>
    <row r="827" spans="1:10" ht="409.6" x14ac:dyDescent="0.3">
      <c r="A827" s="5" t="str">
        <f>HYPERLINK("https://grants.gov/search-results-detail/348888","720BHA23APS00002")</f>
        <v>720BHA23APS00002</v>
      </c>
      <c r="B827" s="5" t="s">
        <v>2241</v>
      </c>
      <c r="C827" s="5" t="s">
        <v>211</v>
      </c>
      <c r="D827" s="5" t="s">
        <v>212</v>
      </c>
      <c r="E827" s="5"/>
      <c r="F827" s="8">
        <v>0</v>
      </c>
      <c r="G827" s="8">
        <v>0</v>
      </c>
      <c r="H827" s="5"/>
      <c r="I827" s="5" t="s">
        <v>2242</v>
      </c>
      <c r="J827" s="5" t="s">
        <v>2243</v>
      </c>
    </row>
    <row r="828" spans="1:10" ht="172.8" x14ac:dyDescent="0.3">
      <c r="A828" s="5" t="str">
        <f>HYPERLINK("https://grants.gov/search-results-detail/327101","720FDA20RFA00004")</f>
        <v>720FDA20RFA00004</v>
      </c>
      <c r="B828" s="5" t="s">
        <v>2577</v>
      </c>
      <c r="C828" s="5" t="s">
        <v>211</v>
      </c>
      <c r="D828" s="5" t="s">
        <v>212</v>
      </c>
      <c r="E828" s="5"/>
      <c r="F828" s="8">
        <v>5000000</v>
      </c>
      <c r="G828" s="8">
        <v>3000000</v>
      </c>
      <c r="H828" s="5">
        <v>3</v>
      </c>
      <c r="I828" s="5" t="s">
        <v>2578</v>
      </c>
      <c r="J828" s="5" t="s">
        <v>2579</v>
      </c>
    </row>
    <row r="829" spans="1:10" ht="331.2" x14ac:dyDescent="0.3">
      <c r="A829" s="5" t="str">
        <f>HYPERLINK("https://grants.gov/search-results-detail/313572","720FDA19APS00001")</f>
        <v>720FDA19APS00001</v>
      </c>
      <c r="B829" s="5" t="s">
        <v>2647</v>
      </c>
      <c r="C829" s="5" t="s">
        <v>211</v>
      </c>
      <c r="D829" s="5" t="s">
        <v>212</v>
      </c>
      <c r="E829" s="5"/>
      <c r="F829" s="8">
        <v>1300000</v>
      </c>
      <c r="G829" s="8">
        <v>0</v>
      </c>
      <c r="H829" s="5">
        <v>1</v>
      </c>
      <c r="I829" s="5" t="s">
        <v>2648</v>
      </c>
      <c r="J829" s="5" t="s">
        <v>2649</v>
      </c>
    </row>
    <row r="830" spans="1:10" ht="409.6" x14ac:dyDescent="0.3">
      <c r="A830" s="5" t="str">
        <f>HYPERLINK("https://grants.gov/search-results-detail/309813","7200AA19RFA00004")</f>
        <v>7200AA19RFA00004</v>
      </c>
      <c r="B830" s="5" t="s">
        <v>2660</v>
      </c>
      <c r="C830" s="5" t="s">
        <v>211</v>
      </c>
      <c r="D830" s="5" t="s">
        <v>212</v>
      </c>
      <c r="E830" s="5"/>
      <c r="F830" s="8">
        <v>85000000</v>
      </c>
      <c r="G830" s="8">
        <v>0</v>
      </c>
      <c r="H830" s="5">
        <v>1</v>
      </c>
      <c r="I830" s="5" t="s">
        <v>2661</v>
      </c>
      <c r="J830" s="5" t="s">
        <v>2662</v>
      </c>
    </row>
    <row r="831" spans="1:10" ht="409.6" x14ac:dyDescent="0.3">
      <c r="A831" s="5" t="str">
        <f>HYPERLINK("https://grants.gov/search-results-detail/305999","GLOBALHEALTH-BAA-2018")</f>
        <v>GLOBALHEALTH-BAA-2018</v>
      </c>
      <c r="B831" s="5" t="s">
        <v>2681</v>
      </c>
      <c r="C831" s="5" t="s">
        <v>211</v>
      </c>
      <c r="D831" s="5" t="s">
        <v>212</v>
      </c>
      <c r="E831" s="5"/>
      <c r="F831" s="8">
        <v>0</v>
      </c>
      <c r="G831" s="8">
        <v>0</v>
      </c>
      <c r="H831" s="5"/>
      <c r="I831" s="5" t="s">
        <v>13</v>
      </c>
      <c r="J831" s="5" t="s">
        <v>2682</v>
      </c>
    </row>
    <row r="832" spans="1:10" ht="331.2" x14ac:dyDescent="0.3">
      <c r="A832" s="5" t="str">
        <f>HYPERLINK("https://grants.gov/search-results-detail/302225","720FDA18APS00001")</f>
        <v>720FDA18APS00001</v>
      </c>
      <c r="B832" s="5" t="s">
        <v>2688</v>
      </c>
      <c r="C832" s="5" t="s">
        <v>211</v>
      </c>
      <c r="D832" s="5" t="s">
        <v>212</v>
      </c>
      <c r="E832" s="5"/>
      <c r="F832" s="8">
        <v>8000000</v>
      </c>
      <c r="G832" s="8">
        <v>8000000</v>
      </c>
      <c r="H832" s="5">
        <v>1</v>
      </c>
      <c r="I832" s="5" t="s">
        <v>13</v>
      </c>
      <c r="J832" s="5" t="s">
        <v>2689</v>
      </c>
    </row>
    <row r="833" spans="1:10" ht="187.2" x14ac:dyDescent="0.3">
      <c r="A833" s="5" t="str">
        <f>HYPERLINK("https://grants.gov/search-results-detail/298577","720FDA18RFA00002")</f>
        <v>720FDA18RFA00002</v>
      </c>
      <c r="B833" s="5" t="s">
        <v>2710</v>
      </c>
      <c r="C833" s="5" t="s">
        <v>211</v>
      </c>
      <c r="D833" s="5" t="s">
        <v>212</v>
      </c>
      <c r="E833" s="5"/>
      <c r="F833" s="8">
        <v>18000000</v>
      </c>
      <c r="G833" s="8">
        <v>18000000</v>
      </c>
      <c r="H833" s="5"/>
      <c r="I833" s="5" t="s">
        <v>13</v>
      </c>
      <c r="J833" s="5" t="s">
        <v>2711</v>
      </c>
    </row>
    <row r="834" spans="1:10" ht="409.6" x14ac:dyDescent="0.3">
      <c r="A834" s="5" t="str">
        <f>HYPERLINK("https://grants.gov/search-results-detail/297145","SOL-OFDA-17-000088")</f>
        <v>SOL-OFDA-17-000088</v>
      </c>
      <c r="B834" s="5" t="s">
        <v>2717</v>
      </c>
      <c r="C834" s="5" t="s">
        <v>211</v>
      </c>
      <c r="D834" s="5" t="s">
        <v>212</v>
      </c>
      <c r="E834" s="5"/>
      <c r="F834" s="8">
        <v>0</v>
      </c>
      <c r="G834" s="8">
        <v>0</v>
      </c>
      <c r="H834" s="5"/>
      <c r="I834" s="5" t="s">
        <v>13</v>
      </c>
      <c r="J834" s="5" t="s">
        <v>2718</v>
      </c>
    </row>
    <row r="835" spans="1:10" ht="172.8" x14ac:dyDescent="0.3">
      <c r="A835" s="5" t="str">
        <f>HYPERLINK("https://grants.gov/search-results-detail/295147","APS-675-17-000001")</f>
        <v>APS-675-17-000001</v>
      </c>
      <c r="B835" s="5" t="s">
        <v>2721</v>
      </c>
      <c r="C835" s="5" t="s">
        <v>211</v>
      </c>
      <c r="D835" s="5" t="s">
        <v>212</v>
      </c>
      <c r="E835" s="5"/>
      <c r="F835" s="8">
        <v>0</v>
      </c>
      <c r="G835" s="8">
        <v>0</v>
      </c>
      <c r="H835" s="5"/>
      <c r="I835" s="5" t="s">
        <v>2722</v>
      </c>
      <c r="J835" s="5" t="s">
        <v>2723</v>
      </c>
    </row>
    <row r="836" spans="1:10" ht="172.8" x14ac:dyDescent="0.3">
      <c r="A836" s="5" t="str">
        <f>HYPERLINK("https://grants.gov/search-results-detail/273354","BAA-GLOBALHEALTH-2015")</f>
        <v>BAA-GLOBALHEALTH-2015</v>
      </c>
      <c r="B836" s="5" t="s">
        <v>2769</v>
      </c>
      <c r="C836" s="5" t="s">
        <v>211</v>
      </c>
      <c r="D836" s="5" t="s">
        <v>212</v>
      </c>
      <c r="E836" s="5"/>
      <c r="F836" s="8">
        <v>0</v>
      </c>
      <c r="G836" s="8">
        <v>0</v>
      </c>
      <c r="H836" s="5"/>
      <c r="I836" s="5" t="s">
        <v>2770</v>
      </c>
      <c r="J836" s="5" t="s">
        <v>2771</v>
      </c>
    </row>
    <row r="837" spans="1:10" ht="216" x14ac:dyDescent="0.3">
      <c r="A837" s="5" t="str">
        <f>HYPERLINK("https://grants.gov/search-results-detail/271284","BAA-DIA-GFBC-2015")</f>
        <v>BAA-DIA-GFBC-2015</v>
      </c>
      <c r="B837" s="5" t="s">
        <v>2772</v>
      </c>
      <c r="C837" s="5" t="s">
        <v>211</v>
      </c>
      <c r="D837" s="5" t="s">
        <v>212</v>
      </c>
      <c r="E837" s="5"/>
      <c r="F837" s="8">
        <v>0</v>
      </c>
      <c r="G837" s="8">
        <v>0</v>
      </c>
      <c r="H837" s="5"/>
      <c r="I837" s="5" t="s">
        <v>2773</v>
      </c>
      <c r="J837" s="5" t="s">
        <v>2774</v>
      </c>
    </row>
    <row r="838" spans="1:10" ht="187.2" x14ac:dyDescent="0.3">
      <c r="A838" s="5" t="str">
        <f>HYPERLINK("https://grants.gov/search-results-detail/268349","BAA-EBOLA-2014")</f>
        <v>BAA-EBOLA-2014</v>
      </c>
      <c r="B838" s="5" t="s">
        <v>2780</v>
      </c>
      <c r="C838" s="5" t="s">
        <v>211</v>
      </c>
      <c r="D838" s="5" t="s">
        <v>212</v>
      </c>
      <c r="E838" s="5"/>
      <c r="F838" s="8">
        <v>0</v>
      </c>
      <c r="G838" s="8">
        <v>0</v>
      </c>
      <c r="H838" s="5"/>
      <c r="I838" s="5" t="s">
        <v>2781</v>
      </c>
      <c r="J838" s="5" t="s">
        <v>2782</v>
      </c>
    </row>
    <row r="839" spans="1:10" ht="57.6" x14ac:dyDescent="0.3">
      <c r="A839" s="5" t="str">
        <f>HYPERLINK("https://grants.gov/search-results-detail/233279","APS-FFP-13-000001")</f>
        <v>APS-FFP-13-000001</v>
      </c>
      <c r="B839" s="5" t="s">
        <v>2799</v>
      </c>
      <c r="C839" s="5" t="s">
        <v>211</v>
      </c>
      <c r="D839" s="5" t="s">
        <v>212</v>
      </c>
      <c r="E839" s="5"/>
      <c r="F839" s="8" t="s">
        <v>8</v>
      </c>
      <c r="G839" s="8" t="s">
        <v>8</v>
      </c>
      <c r="H839" s="5"/>
      <c r="I839" s="5" t="s">
        <v>13</v>
      </c>
      <c r="J839" s="5" t="s">
        <v>2800</v>
      </c>
    </row>
    <row r="840" spans="1:10" ht="316.8" x14ac:dyDescent="0.3">
      <c r="A840" s="5" t="str">
        <f>HYPERLINK("https://grants.gov/search-results-detail/187913","APS-OAA-12-000007")</f>
        <v>APS-OAA-12-000007</v>
      </c>
      <c r="B840" s="5" t="s">
        <v>2807</v>
      </c>
      <c r="C840" s="5" t="s">
        <v>211</v>
      </c>
      <c r="D840" s="5" t="s">
        <v>212</v>
      </c>
      <c r="E840" s="5"/>
      <c r="F840" s="8">
        <v>2250000</v>
      </c>
      <c r="G840" s="8">
        <v>100000</v>
      </c>
      <c r="H840" s="5"/>
      <c r="I840" s="5" t="s">
        <v>2808</v>
      </c>
      <c r="J840" s="5" t="s">
        <v>2809</v>
      </c>
    </row>
    <row r="841" spans="1:10" ht="409.6" x14ac:dyDescent="0.3">
      <c r="A841" s="5" t="str">
        <f>HYPERLINK("https://grants.gov/search-results-detail/357708","72030625RFA00001")</f>
        <v>72030625RFA00001</v>
      </c>
      <c r="B841" s="5" t="s">
        <v>804</v>
      </c>
      <c r="C841" s="5" t="s">
        <v>805</v>
      </c>
      <c r="D841" s="5" t="s">
        <v>806</v>
      </c>
      <c r="E841" s="6">
        <v>45681</v>
      </c>
      <c r="F841" s="8">
        <v>92500000</v>
      </c>
      <c r="G841" s="8">
        <v>4000000</v>
      </c>
      <c r="H841" s="5">
        <v>1</v>
      </c>
      <c r="I841" s="5" t="s">
        <v>13</v>
      </c>
      <c r="J841" s="5" t="s">
        <v>807</v>
      </c>
    </row>
    <row r="842" spans="1:10" ht="409.6" x14ac:dyDescent="0.3">
      <c r="A842" s="5" t="str">
        <f>HYPERLINK("https://grants.gov/search-results-detail/322853","72030620APS00001")</f>
        <v>72030620APS00001</v>
      </c>
      <c r="B842" s="5" t="s">
        <v>2616</v>
      </c>
      <c r="C842" s="5" t="s">
        <v>805</v>
      </c>
      <c r="D842" s="5" t="s">
        <v>806</v>
      </c>
      <c r="E842" s="5"/>
      <c r="F842" s="8">
        <v>50000000</v>
      </c>
      <c r="G842" s="8">
        <v>0</v>
      </c>
      <c r="H842" s="5">
        <v>3</v>
      </c>
      <c r="I842" s="5" t="s">
        <v>13</v>
      </c>
      <c r="J842" s="5" t="s">
        <v>2617</v>
      </c>
    </row>
    <row r="843" spans="1:10" ht="216" x14ac:dyDescent="0.3">
      <c r="A843" s="5" t="str">
        <f>HYPERLINK("https://grants.gov/search-results-detail/297845","APS-OAA-16-000001")</f>
        <v>APS-OAA-16-000001</v>
      </c>
      <c r="B843" s="5" t="s">
        <v>2712</v>
      </c>
      <c r="C843" s="5" t="s">
        <v>2713</v>
      </c>
      <c r="D843" s="5" t="s">
        <v>2714</v>
      </c>
      <c r="E843" s="5"/>
      <c r="F843" s="8">
        <v>3333333</v>
      </c>
      <c r="G843" s="8">
        <v>0</v>
      </c>
      <c r="H843" s="5">
        <v>3</v>
      </c>
      <c r="I843" s="5" t="s">
        <v>2715</v>
      </c>
      <c r="J843" s="5" t="s">
        <v>2716</v>
      </c>
    </row>
    <row r="844" spans="1:10" ht="409.6" x14ac:dyDescent="0.3">
      <c r="A844" s="5" t="str">
        <f>HYPERLINK("https://grants.gov/search-results-detail/357923","72066025RFI00002")</f>
        <v>72066025RFI00002</v>
      </c>
      <c r="B844" s="5" t="s">
        <v>100</v>
      </c>
      <c r="C844" s="5" t="s">
        <v>101</v>
      </c>
      <c r="D844" s="5" t="s">
        <v>102</v>
      </c>
      <c r="E844" s="6">
        <v>45681</v>
      </c>
      <c r="F844" s="8">
        <v>14000000</v>
      </c>
      <c r="G844" s="8">
        <v>12000000</v>
      </c>
      <c r="H844" s="5">
        <v>1</v>
      </c>
      <c r="I844" s="5" t="s">
        <v>13</v>
      </c>
      <c r="J844" s="5" t="s">
        <v>103</v>
      </c>
    </row>
    <row r="845" spans="1:10" ht="244.8" x14ac:dyDescent="0.3">
      <c r="A845" s="5" t="str">
        <f>HYPERLINK("https://grants.gov/search-results-detail/355506","72060524APS00001")</f>
        <v>72060524APS00001</v>
      </c>
      <c r="B845" s="5" t="s">
        <v>1977</v>
      </c>
      <c r="C845" s="5" t="s">
        <v>101</v>
      </c>
      <c r="D845" s="5" t="s">
        <v>102</v>
      </c>
      <c r="E845" s="6">
        <v>45731</v>
      </c>
      <c r="F845" s="8">
        <v>5000000</v>
      </c>
      <c r="G845" s="8">
        <v>100000</v>
      </c>
      <c r="H845" s="5">
        <v>20</v>
      </c>
      <c r="I845" s="5" t="s">
        <v>1978</v>
      </c>
      <c r="J845" s="5" t="s">
        <v>1979</v>
      </c>
    </row>
    <row r="846" spans="1:10" ht="409.6" x14ac:dyDescent="0.3">
      <c r="A846" s="5" t="str">
        <f>HYPERLINK("https://grants.gov/search-results-detail/252969","AID-263-14-000005")</f>
        <v>AID-263-14-000005</v>
      </c>
      <c r="B846" s="5" t="s">
        <v>2790</v>
      </c>
      <c r="C846" s="5" t="s">
        <v>2791</v>
      </c>
      <c r="D846" s="5" t="s">
        <v>2792</v>
      </c>
      <c r="E846" s="5"/>
      <c r="F846" s="8">
        <v>20000</v>
      </c>
      <c r="G846" s="8">
        <v>0</v>
      </c>
      <c r="H846" s="5">
        <v>1</v>
      </c>
      <c r="I846" s="5" t="s">
        <v>2793</v>
      </c>
      <c r="J846" s="5" t="s">
        <v>2794</v>
      </c>
    </row>
    <row r="847" spans="1:10" ht="409.6" x14ac:dyDescent="0.3">
      <c r="A847" s="5" t="str">
        <f>HYPERLINK("https://grants.gov/search-results-detail/50471","PRE-SOLICITATION-NOTICE-YEMEN")</f>
        <v>PRE-SOLICITATION-NOTICE-YEMEN</v>
      </c>
      <c r="B847" s="5" t="s">
        <v>2854</v>
      </c>
      <c r="C847" s="5" t="s">
        <v>2791</v>
      </c>
      <c r="D847" s="5" t="s">
        <v>2792</v>
      </c>
      <c r="E847" s="5"/>
      <c r="F847" s="8" t="s">
        <v>8</v>
      </c>
      <c r="G847" s="8" t="s">
        <v>8</v>
      </c>
      <c r="H847" s="5">
        <v>1</v>
      </c>
      <c r="I847" s="5" t="s">
        <v>2855</v>
      </c>
      <c r="J847" s="5" t="s">
        <v>2856</v>
      </c>
    </row>
    <row r="848" spans="1:10" ht="409.6" x14ac:dyDescent="0.3">
      <c r="A848" s="5" t="str">
        <f>HYPERLINK("https://grants.gov/search-results-detail/50473","PRE-SOLICITATION-NOTICE-USAID-YEMEN")</f>
        <v>PRE-SOLICITATION-NOTICE-USAID-YEMEN</v>
      </c>
      <c r="B848" s="5" t="s">
        <v>2857</v>
      </c>
      <c r="C848" s="5" t="s">
        <v>2791</v>
      </c>
      <c r="D848" s="5" t="s">
        <v>2792</v>
      </c>
      <c r="E848" s="5"/>
      <c r="F848" s="8" t="s">
        <v>8</v>
      </c>
      <c r="G848" s="8" t="s">
        <v>8</v>
      </c>
      <c r="H848" s="5">
        <v>1</v>
      </c>
      <c r="I848" s="5" t="s">
        <v>2855</v>
      </c>
      <c r="J848" s="5" t="s">
        <v>2858</v>
      </c>
    </row>
    <row r="849" spans="1:10" ht="129.6" x14ac:dyDescent="0.3">
      <c r="A849" s="5" t="str">
        <f>HYPERLINK("https://grants.gov/search-results-detail/250255","114-14-INFORMATION")</f>
        <v>114-14-INFORMATION</v>
      </c>
      <c r="B849" s="5" t="s">
        <v>2795</v>
      </c>
      <c r="C849" s="5" t="s">
        <v>2796</v>
      </c>
      <c r="D849" s="5" t="s">
        <v>2797</v>
      </c>
      <c r="E849" s="5"/>
      <c r="F849" s="8">
        <v>0</v>
      </c>
      <c r="G849" s="8">
        <v>0</v>
      </c>
      <c r="H849" s="5">
        <v>10</v>
      </c>
      <c r="I849" s="5" t="s">
        <v>13</v>
      </c>
      <c r="J849" s="5" t="s">
        <v>2798</v>
      </c>
    </row>
    <row r="850" spans="1:10" ht="409.6" x14ac:dyDescent="0.3">
      <c r="A850" s="5" t="str">
        <f>HYPERLINK("https://grants.gov/search-results-detail/356372","72062424APS00002")</f>
        <v>72062424APS00002</v>
      </c>
      <c r="B850" s="5" t="s">
        <v>1899</v>
      </c>
      <c r="C850" s="5" t="s">
        <v>1900</v>
      </c>
      <c r="D850" s="5" t="s">
        <v>1901</v>
      </c>
      <c r="E850" s="6">
        <v>45695</v>
      </c>
      <c r="F850" s="8">
        <v>9989000</v>
      </c>
      <c r="G850" s="8">
        <v>9989000</v>
      </c>
      <c r="H850" s="5">
        <v>5</v>
      </c>
      <c r="I850" s="5" t="s">
        <v>1902</v>
      </c>
      <c r="J850" s="5" t="s">
        <v>1903</v>
      </c>
    </row>
    <row r="851" spans="1:10" ht="374.4" x14ac:dyDescent="0.3">
      <c r="A851" s="5" t="str">
        <f>HYPERLINK("https://grants.gov/search-results-detail/356153","72062424RFA00012")</f>
        <v>72062424RFA00012</v>
      </c>
      <c r="B851" s="5" t="s">
        <v>1932</v>
      </c>
      <c r="C851" s="5" t="s">
        <v>1900</v>
      </c>
      <c r="D851" s="5" t="s">
        <v>1901</v>
      </c>
      <c r="E851" s="5"/>
      <c r="F851" s="8">
        <v>2400000</v>
      </c>
      <c r="G851" s="8">
        <v>2400000</v>
      </c>
      <c r="H851" s="5">
        <v>1</v>
      </c>
      <c r="I851" s="5" t="s">
        <v>1933</v>
      </c>
      <c r="J851" s="5" t="s">
        <v>1934</v>
      </c>
    </row>
    <row r="852" spans="1:10" ht="374.4" x14ac:dyDescent="0.3">
      <c r="A852" s="5" t="str">
        <f>HYPERLINK("https://grants.gov/search-results-detail/358103","72052025RFI00001")</f>
        <v>72052025RFI00001</v>
      </c>
      <c r="B852" s="5" t="s">
        <v>535</v>
      </c>
      <c r="C852" s="5" t="s">
        <v>536</v>
      </c>
      <c r="D852" s="5" t="s">
        <v>537</v>
      </c>
      <c r="E852" s="6">
        <v>45679</v>
      </c>
      <c r="F852" s="8">
        <v>0</v>
      </c>
      <c r="G852" s="8">
        <v>0</v>
      </c>
      <c r="H852" s="5">
        <v>50</v>
      </c>
      <c r="I852" s="5" t="s">
        <v>13</v>
      </c>
      <c r="J852" s="5" t="s">
        <v>538</v>
      </c>
    </row>
    <row r="853" spans="1:10" ht="331.2" x14ac:dyDescent="0.3">
      <c r="A853" s="5" t="str">
        <f>HYPERLINK("https://grants.gov/search-results-detail/338128","72067522APS00002")</f>
        <v>72067522APS00002</v>
      </c>
      <c r="B853" s="5" t="s">
        <v>2448</v>
      </c>
      <c r="C853" s="5" t="s">
        <v>307</v>
      </c>
      <c r="D853" s="5" t="s">
        <v>308</v>
      </c>
      <c r="E853" s="6">
        <v>45713</v>
      </c>
      <c r="F853" s="8">
        <v>0</v>
      </c>
      <c r="G853" s="8">
        <v>0</v>
      </c>
      <c r="H853" s="5"/>
      <c r="I853" s="5" t="s">
        <v>13</v>
      </c>
      <c r="J853" s="5" t="s">
        <v>2449</v>
      </c>
    </row>
    <row r="854" spans="1:10" ht="302.39999999999998" x14ac:dyDescent="0.3">
      <c r="A854" s="5" t="str">
        <f>HYPERLINK("https://grants.gov/search-results-detail/357766","72067525RFA00001")</f>
        <v>72067525RFA00001</v>
      </c>
      <c r="B854" s="5" t="s">
        <v>306</v>
      </c>
      <c r="C854" s="5" t="s">
        <v>307</v>
      </c>
      <c r="D854" s="5" t="s">
        <v>308</v>
      </c>
      <c r="E854" s="6">
        <v>45716</v>
      </c>
      <c r="F854" s="8">
        <v>17500000</v>
      </c>
      <c r="G854" s="8">
        <v>3500000</v>
      </c>
      <c r="H854" s="5">
        <v>1</v>
      </c>
      <c r="I854" s="5" t="s">
        <v>13</v>
      </c>
      <c r="J854" s="5" t="s">
        <v>309</v>
      </c>
    </row>
    <row r="855" spans="1:10" ht="409.6" x14ac:dyDescent="0.3">
      <c r="A855" s="5" t="str">
        <f>HYPERLINK("https://grants.gov/search-results-detail/337250","PRE-SOLICITATION-675-22-000001")</f>
        <v>PRE-SOLICITATION-675-22-000001</v>
      </c>
      <c r="B855" s="5" t="s">
        <v>2455</v>
      </c>
      <c r="C855" s="5" t="s">
        <v>307</v>
      </c>
      <c r="D855" s="5" t="s">
        <v>308</v>
      </c>
      <c r="E855" s="5"/>
      <c r="F855" s="8">
        <v>73000000</v>
      </c>
      <c r="G855" s="8">
        <v>73000000</v>
      </c>
      <c r="H855" s="5">
        <v>1</v>
      </c>
      <c r="I855" s="5" t="s">
        <v>13</v>
      </c>
      <c r="J855" s="5" t="s">
        <v>2456</v>
      </c>
    </row>
    <row r="856" spans="1:10" ht="409.6" x14ac:dyDescent="0.3">
      <c r="A856" s="5" t="str">
        <f>HYPERLINK("https://grants.gov/search-results-detail/345910","72049723APS00001-AND-ADDENDUMS")</f>
        <v>72049723APS00001-AND-ADDENDUMS</v>
      </c>
      <c r="B856" s="5" t="s">
        <v>2315</v>
      </c>
      <c r="C856" s="5" t="s">
        <v>2316</v>
      </c>
      <c r="D856" s="5" t="s">
        <v>2317</v>
      </c>
      <c r="E856" s="5"/>
      <c r="F856" s="8">
        <v>150000000</v>
      </c>
      <c r="G856" s="8">
        <v>0</v>
      </c>
      <c r="H856" s="5"/>
      <c r="I856" s="5" t="s">
        <v>2318</v>
      </c>
      <c r="J856" s="5" t="s">
        <v>2319</v>
      </c>
    </row>
    <row r="857" spans="1:10" ht="409.6" x14ac:dyDescent="0.3">
      <c r="A857" s="5" t="str">
        <f>HYPERLINK("https://grants.gov/search-results-detail/357540","72026725RFA00001")</f>
        <v>72026725RFA00001</v>
      </c>
      <c r="B857" s="5" t="s">
        <v>1055</v>
      </c>
      <c r="C857" s="5" t="s">
        <v>1056</v>
      </c>
      <c r="D857" s="5" t="s">
        <v>1057</v>
      </c>
      <c r="E857" s="6">
        <v>45688</v>
      </c>
      <c r="F857" s="8">
        <v>30000000</v>
      </c>
      <c r="G857" s="8">
        <v>1000000</v>
      </c>
      <c r="H857" s="5"/>
      <c r="I857" s="5" t="s">
        <v>13</v>
      </c>
      <c r="J857" s="5" t="s">
        <v>1058</v>
      </c>
    </row>
    <row r="858" spans="1:10" ht="187.2" x14ac:dyDescent="0.3">
      <c r="A858" s="5" t="str">
        <f>HYPERLINK("https://grants.gov/search-results-detail/334342","72061521RFA000016")</f>
        <v>72061521RFA000016</v>
      </c>
      <c r="B858" s="5" t="s">
        <v>2486</v>
      </c>
      <c r="C858" s="5" t="s">
        <v>2487</v>
      </c>
      <c r="D858" s="5" t="s">
        <v>2488</v>
      </c>
      <c r="E858" s="5"/>
      <c r="F858" s="8">
        <v>7800000</v>
      </c>
      <c r="G858" s="8">
        <v>0</v>
      </c>
      <c r="H858" s="5">
        <v>1</v>
      </c>
      <c r="I858" s="5" t="s">
        <v>13</v>
      </c>
      <c r="J858" s="5" t="s">
        <v>2489</v>
      </c>
    </row>
    <row r="859" spans="1:10" ht="100.8" x14ac:dyDescent="0.3">
      <c r="A859" s="5" t="str">
        <f>HYPERLINK("https://grants.gov/search-results-detail/147073","APS-623-12-000001")</f>
        <v>APS-623-12-000001</v>
      </c>
      <c r="B859" s="5" t="s">
        <v>2819</v>
      </c>
      <c r="C859" s="5" t="s">
        <v>2487</v>
      </c>
      <c r="D859" s="5" t="s">
        <v>2488</v>
      </c>
      <c r="E859" s="5"/>
      <c r="F859" s="8">
        <v>2500000</v>
      </c>
      <c r="G859" s="8">
        <v>100000</v>
      </c>
      <c r="H859" s="5"/>
      <c r="I859" s="5" t="s">
        <v>2820</v>
      </c>
      <c r="J859" s="5" t="s">
        <v>2821</v>
      </c>
    </row>
    <row r="860" spans="1:10" ht="409.6" x14ac:dyDescent="0.3">
      <c r="A860" s="5" t="str">
        <f>HYPERLINK("https://grants.gov/search-results-detail/357551","72068724RFA00008")</f>
        <v>72068724RFA00008</v>
      </c>
      <c r="B860" s="5" t="s">
        <v>1076</v>
      </c>
      <c r="C860" s="5" t="s">
        <v>1077</v>
      </c>
      <c r="D860" s="5" t="s">
        <v>1078</v>
      </c>
      <c r="E860" s="6">
        <v>45698</v>
      </c>
      <c r="F860" s="8">
        <v>7500000</v>
      </c>
      <c r="G860" s="8">
        <v>5000000</v>
      </c>
      <c r="H860" s="5">
        <v>1</v>
      </c>
      <c r="I860" s="5" t="s">
        <v>1079</v>
      </c>
      <c r="J860" s="5" t="s">
        <v>1080</v>
      </c>
    </row>
    <row r="861" spans="1:10" ht="409.6" x14ac:dyDescent="0.3">
      <c r="A861" s="5" t="str">
        <f>HYPERLINK("https://grants.gov/search-results-detail/335595","72068821APS00003")</f>
        <v>72068821APS00003</v>
      </c>
      <c r="B861" s="5" t="s">
        <v>2482</v>
      </c>
      <c r="C861" s="5" t="s">
        <v>2483</v>
      </c>
      <c r="D861" s="5" t="s">
        <v>2484</v>
      </c>
      <c r="E861" s="5"/>
      <c r="F861" s="8">
        <v>3000000</v>
      </c>
      <c r="G861" s="8">
        <v>250000</v>
      </c>
      <c r="H861" s="5"/>
      <c r="I861" s="5" t="s">
        <v>13</v>
      </c>
      <c r="J861" s="5" t="s">
        <v>2485</v>
      </c>
    </row>
    <row r="862" spans="1:10" ht="115.2" x14ac:dyDescent="0.3">
      <c r="A862" s="5" t="str">
        <f>HYPERLINK("https://grants.gov/search-results-detail/301155","PRE-SOLICITATION")</f>
        <v>PRE-SOLICITATION</v>
      </c>
      <c r="B862" s="5" t="s">
        <v>2697</v>
      </c>
      <c r="C862" s="5" t="s">
        <v>2698</v>
      </c>
      <c r="D862" s="5" t="s">
        <v>2699</v>
      </c>
      <c r="E862" s="5"/>
      <c r="F862" s="8">
        <v>49700000</v>
      </c>
      <c r="G862" s="8">
        <v>0</v>
      </c>
      <c r="H862" s="5">
        <v>1</v>
      </c>
      <c r="I862" s="5" t="s">
        <v>13</v>
      </c>
      <c r="J862" s="5" t="s">
        <v>2700</v>
      </c>
    </row>
    <row r="863" spans="1:10" ht="43.2" x14ac:dyDescent="0.3">
      <c r="A863" s="5" t="str">
        <f>HYPERLINK("https://grants.gov/search-results-detail/358037","RFI-720-656-2025-POLICY")</f>
        <v>RFI-720-656-2025-POLICY</v>
      </c>
      <c r="B863" s="5" t="s">
        <v>542</v>
      </c>
      <c r="C863" s="5" t="s">
        <v>110</v>
      </c>
      <c r="D863" s="5" t="s">
        <v>111</v>
      </c>
      <c r="E863" s="6">
        <v>45698</v>
      </c>
      <c r="F863" s="8">
        <v>31500000</v>
      </c>
      <c r="G863" s="8">
        <v>1500000</v>
      </c>
      <c r="H863" s="5">
        <v>1</v>
      </c>
      <c r="I863" s="5" t="s">
        <v>13</v>
      </c>
      <c r="J863" s="5" t="s">
        <v>112</v>
      </c>
    </row>
    <row r="864" spans="1:10" ht="57.6" x14ac:dyDescent="0.3">
      <c r="A864" s="5" t="str">
        <f>HYPERLINK("https://grants.gov/search-results-detail/357921","RFI-720656-2024-FP")</f>
        <v>RFI-720656-2024-FP</v>
      </c>
      <c r="B864" s="5" t="s">
        <v>109</v>
      </c>
      <c r="C864" s="5" t="s">
        <v>110</v>
      </c>
      <c r="D864" s="5" t="s">
        <v>111</v>
      </c>
      <c r="E864" s="6">
        <v>45703</v>
      </c>
      <c r="F864" s="8">
        <v>0</v>
      </c>
      <c r="G864" s="8">
        <v>0</v>
      </c>
      <c r="H864" s="5"/>
      <c r="I864" s="5" t="s">
        <v>13</v>
      </c>
      <c r="J864" s="5" t="s">
        <v>112</v>
      </c>
    </row>
    <row r="865" spans="1:10" ht="115.2" x14ac:dyDescent="0.3">
      <c r="A865" s="5" t="str">
        <f>HYPERLINK("https://grants.gov/search-results-detail/357508","72065625RFA00002")</f>
        <v>72065625RFA00002</v>
      </c>
      <c r="B865" s="5" t="s">
        <v>1181</v>
      </c>
      <c r="C865" s="5" t="s">
        <v>110</v>
      </c>
      <c r="D865" s="5" t="s">
        <v>111</v>
      </c>
      <c r="E865" s="6">
        <v>45705</v>
      </c>
      <c r="F865" s="8">
        <v>77500000</v>
      </c>
      <c r="G865" s="8">
        <v>7000000</v>
      </c>
      <c r="H865" s="5">
        <v>1</v>
      </c>
      <c r="I865" s="5" t="s">
        <v>1182</v>
      </c>
      <c r="J865" s="5" t="s">
        <v>112</v>
      </c>
    </row>
    <row r="866" spans="1:10" ht="115.2" x14ac:dyDescent="0.3">
      <c r="A866" s="5" t="str">
        <f>HYPERLINK("https://grants.gov/search-results-detail/357512","72065625RFA00005")</f>
        <v>72065625RFA00005</v>
      </c>
      <c r="B866" s="5" t="s">
        <v>1183</v>
      </c>
      <c r="C866" s="5" t="s">
        <v>110</v>
      </c>
      <c r="D866" s="5" t="s">
        <v>111</v>
      </c>
      <c r="E866" s="6">
        <v>45705</v>
      </c>
      <c r="F866" s="8">
        <v>77500000</v>
      </c>
      <c r="G866" s="8">
        <v>7000000</v>
      </c>
      <c r="H866" s="5">
        <v>1</v>
      </c>
      <c r="I866" s="5" t="s">
        <v>1182</v>
      </c>
      <c r="J866" s="5" t="s">
        <v>112</v>
      </c>
    </row>
    <row r="867" spans="1:10" ht="129.6" x14ac:dyDescent="0.3">
      <c r="A867" s="5" t="str">
        <f>HYPERLINK("https://grants.gov/search-results-detail/357764","72062025RFI00001")</f>
        <v>72062025RFI00001</v>
      </c>
      <c r="B867" s="5" t="s">
        <v>350</v>
      </c>
      <c r="C867" s="5" t="s">
        <v>351</v>
      </c>
      <c r="D867" s="5" t="s">
        <v>352</v>
      </c>
      <c r="E867" s="6">
        <v>45674</v>
      </c>
      <c r="F867" s="8">
        <v>17000000</v>
      </c>
      <c r="G867" s="8">
        <v>0</v>
      </c>
      <c r="H867" s="5"/>
      <c r="I867" s="5" t="s">
        <v>13</v>
      </c>
      <c r="J867" s="5" t="s">
        <v>353</v>
      </c>
    </row>
    <row r="868" spans="1:10" ht="129.6" x14ac:dyDescent="0.3">
      <c r="A868" s="5" t="str">
        <f>HYPERLINK("https://grants.gov/search-results-detail/357704","72062025RFA00005")</f>
        <v>72062025RFA00005</v>
      </c>
      <c r="B868" s="5" t="s">
        <v>826</v>
      </c>
      <c r="C868" s="5" t="s">
        <v>351</v>
      </c>
      <c r="D868" s="5" t="s">
        <v>352</v>
      </c>
      <c r="E868" s="6">
        <v>45681</v>
      </c>
      <c r="F868" s="8">
        <v>32500</v>
      </c>
      <c r="G868" s="8">
        <v>1000</v>
      </c>
      <c r="H868" s="5">
        <v>2</v>
      </c>
      <c r="I868" s="5" t="s">
        <v>827</v>
      </c>
      <c r="J868" s="5" t="s">
        <v>828</v>
      </c>
    </row>
    <row r="869" spans="1:10" ht="115.2" x14ac:dyDescent="0.3">
      <c r="A869" s="5" t="str">
        <f>HYPERLINK("https://grants.gov/search-results-detail/357656","72062025RFA00003")</f>
        <v>72062025RFA00003</v>
      </c>
      <c r="B869" s="5" t="s">
        <v>903</v>
      </c>
      <c r="C869" s="5" t="s">
        <v>351</v>
      </c>
      <c r="D869" s="5" t="s">
        <v>352</v>
      </c>
      <c r="E869" s="6">
        <v>45681</v>
      </c>
      <c r="F869" s="8">
        <v>35000000</v>
      </c>
      <c r="G869" s="8">
        <v>1000</v>
      </c>
      <c r="H869" s="5">
        <v>2</v>
      </c>
      <c r="I869" s="5" t="s">
        <v>904</v>
      </c>
      <c r="J869" s="5" t="s">
        <v>905</v>
      </c>
    </row>
    <row r="870" spans="1:10" ht="409.6" x14ac:dyDescent="0.3">
      <c r="A870" s="5" t="str">
        <f>HYPERLINK("https://grants.gov/search-results-detail/259510","APS-620-14-000001")</f>
        <v>APS-620-14-000001</v>
      </c>
      <c r="B870" s="5" t="s">
        <v>2783</v>
      </c>
      <c r="C870" s="5" t="s">
        <v>351</v>
      </c>
      <c r="D870" s="5" t="s">
        <v>352</v>
      </c>
      <c r="E870" s="5"/>
      <c r="F870" s="8">
        <v>15000000</v>
      </c>
      <c r="G870" s="8">
        <v>300000</v>
      </c>
      <c r="H870" s="5">
        <v>6</v>
      </c>
      <c r="I870" s="5" t="s">
        <v>13</v>
      </c>
      <c r="J870" s="5" t="s">
        <v>2784</v>
      </c>
    </row>
    <row r="871" spans="1:10" ht="316.8" x14ac:dyDescent="0.3">
      <c r="A871" s="5" t="str">
        <f>HYPERLINK("https://grants.gov/search-results-detail/357558","72039125RFA00002")</f>
        <v>72039125RFA00002</v>
      </c>
      <c r="B871" s="5" t="s">
        <v>1012</v>
      </c>
      <c r="C871" s="5" t="s">
        <v>1013</v>
      </c>
      <c r="D871" s="5" t="s">
        <v>1014</v>
      </c>
      <c r="E871" s="6">
        <v>45694</v>
      </c>
      <c r="F871" s="8">
        <v>14000000</v>
      </c>
      <c r="G871" s="8">
        <v>2990000</v>
      </c>
      <c r="H871" s="5"/>
      <c r="I871" s="5" t="s">
        <v>1015</v>
      </c>
      <c r="J871" s="5" t="s">
        <v>1016</v>
      </c>
    </row>
    <row r="872" spans="1:10" ht="72" x14ac:dyDescent="0.3">
      <c r="A872" s="5" t="str">
        <f>HYPERLINK("https://grants.gov/search-results-detail/228973","RFA-391-13-000009")</f>
        <v>RFA-391-13-000009</v>
      </c>
      <c r="B872" s="5" t="s">
        <v>2801</v>
      </c>
      <c r="C872" s="5" t="s">
        <v>1013</v>
      </c>
      <c r="D872" s="5" t="s">
        <v>1014</v>
      </c>
      <c r="E872" s="5"/>
      <c r="F872" s="8" t="s">
        <v>8</v>
      </c>
      <c r="G872" s="8" t="s">
        <v>8</v>
      </c>
      <c r="H872" s="5">
        <v>0</v>
      </c>
      <c r="I872" s="5" t="s">
        <v>2802</v>
      </c>
      <c r="J872" s="5" t="s">
        <v>2803</v>
      </c>
    </row>
    <row r="873" spans="1:10" ht="216" x14ac:dyDescent="0.3">
      <c r="A873" s="5" t="str">
        <f>HYPERLINK("https://grants.gov/search-results-detail/269955","BAA-BCA-BRAZIL-2015")</f>
        <v>BAA-BCA-BRAZIL-2015</v>
      </c>
      <c r="B873" s="5" t="s">
        <v>2775</v>
      </c>
      <c r="C873" s="5" t="s">
        <v>2776</v>
      </c>
      <c r="D873" s="5" t="s">
        <v>2777</v>
      </c>
      <c r="E873" s="5"/>
      <c r="F873" s="8">
        <v>0</v>
      </c>
      <c r="G873" s="8">
        <v>0</v>
      </c>
      <c r="H873" s="5"/>
      <c r="I873" s="5" t="s">
        <v>2778</v>
      </c>
      <c r="J873" s="5" t="s">
        <v>2779</v>
      </c>
    </row>
    <row r="874" spans="1:10" ht="259.2" x14ac:dyDescent="0.3">
      <c r="A874" s="5" t="str">
        <f>HYPERLINK("https://grants.gov/search-results-detail/357321","72043825RFA00001")</f>
        <v>72043825RFA00001</v>
      </c>
      <c r="B874" s="5" t="s">
        <v>1310</v>
      </c>
      <c r="C874" s="5" t="s">
        <v>820</v>
      </c>
      <c r="D874" s="5" t="s">
        <v>821</v>
      </c>
      <c r="E874" s="6">
        <v>45700</v>
      </c>
      <c r="F874" s="8">
        <v>10000000</v>
      </c>
      <c r="G874" s="8">
        <v>10000000</v>
      </c>
      <c r="H874" s="5">
        <v>1</v>
      </c>
      <c r="I874" s="5" t="s">
        <v>13</v>
      </c>
      <c r="J874" s="5" t="s">
        <v>1311</v>
      </c>
    </row>
    <row r="875" spans="1:10" ht="302.39999999999998" x14ac:dyDescent="0.3">
      <c r="A875" s="5" t="str">
        <f>HYPERLINK("https://grants.gov/search-results-detail/357701","72049223APS00001-6")</f>
        <v>72049223APS00001-6</v>
      </c>
      <c r="B875" s="5" t="s">
        <v>819</v>
      </c>
      <c r="C875" s="5" t="s">
        <v>820</v>
      </c>
      <c r="D875" s="5" t="s">
        <v>821</v>
      </c>
      <c r="E875" s="6">
        <v>45716</v>
      </c>
      <c r="F875" s="8">
        <v>21600000</v>
      </c>
      <c r="G875" s="8">
        <v>21600000</v>
      </c>
      <c r="H875" s="5">
        <v>1</v>
      </c>
      <c r="I875" s="5" t="s">
        <v>822</v>
      </c>
      <c r="J875" s="5" t="s">
        <v>823</v>
      </c>
    </row>
    <row r="876" spans="1:10" ht="230.4" x14ac:dyDescent="0.3">
      <c r="A876" s="5" t="str">
        <f>HYPERLINK("https://grants.gov/search-results-detail/315196","72049219APS00001-02")</f>
        <v>72049219APS00001-02</v>
      </c>
      <c r="B876" s="5" t="s">
        <v>2636</v>
      </c>
      <c r="C876" s="5" t="s">
        <v>820</v>
      </c>
      <c r="D876" s="5" t="s">
        <v>821</v>
      </c>
      <c r="E876" s="5"/>
      <c r="F876" s="8">
        <v>8000000</v>
      </c>
      <c r="G876" s="8">
        <v>7500000</v>
      </c>
      <c r="H876" s="5">
        <v>1</v>
      </c>
      <c r="I876" s="5" t="s">
        <v>2637</v>
      </c>
      <c r="J876" s="5" t="s">
        <v>2638</v>
      </c>
    </row>
    <row r="877" spans="1:10" ht="409.6" x14ac:dyDescent="0.3">
      <c r="A877" s="5" t="str">
        <f>HYPERLINK("https://grants.gov/search-results-detail/357587","72067424R00011")</f>
        <v>72067424R00011</v>
      </c>
      <c r="B877" s="5" t="s">
        <v>965</v>
      </c>
      <c r="C877" s="5" t="s">
        <v>172</v>
      </c>
      <c r="D877" s="5" t="s">
        <v>173</v>
      </c>
      <c r="E877" s="6">
        <v>45688</v>
      </c>
      <c r="F877" s="8">
        <v>8000000</v>
      </c>
      <c r="G877" s="8">
        <v>0</v>
      </c>
      <c r="H877" s="5">
        <v>1</v>
      </c>
      <c r="I877" s="5" t="s">
        <v>966</v>
      </c>
      <c r="J877" s="5" t="s">
        <v>967</v>
      </c>
    </row>
    <row r="878" spans="1:10" ht="244.8" x14ac:dyDescent="0.3">
      <c r="A878" s="5" t="str">
        <f>HYPERLINK("https://grants.gov/search-results-detail/357717","72067425RFA00001")</f>
        <v>72067425RFA00001</v>
      </c>
      <c r="B878" s="5" t="s">
        <v>836</v>
      </c>
      <c r="C878" s="5" t="s">
        <v>172</v>
      </c>
      <c r="D878" s="5" t="s">
        <v>173</v>
      </c>
      <c r="E878" s="6">
        <v>45699</v>
      </c>
      <c r="F878" s="8">
        <v>58000000</v>
      </c>
      <c r="G878" s="8">
        <v>0</v>
      </c>
      <c r="H878" s="5">
        <v>1</v>
      </c>
      <c r="I878" s="5" t="s">
        <v>174</v>
      </c>
      <c r="J878" s="5" t="s">
        <v>837</v>
      </c>
    </row>
    <row r="879" spans="1:10" ht="259.2" x14ac:dyDescent="0.3">
      <c r="A879" s="5" t="str">
        <f>HYPERLINK("https://grants.gov/search-results-detail/357869","72067425RFA00002")</f>
        <v>72067425RFA00002</v>
      </c>
      <c r="B879" s="5" t="s">
        <v>171</v>
      </c>
      <c r="C879" s="5" t="s">
        <v>172</v>
      </c>
      <c r="D879" s="5" t="s">
        <v>173</v>
      </c>
      <c r="E879" s="6">
        <v>45706</v>
      </c>
      <c r="F879" s="8">
        <v>58000000</v>
      </c>
      <c r="G879" s="8">
        <v>0</v>
      </c>
      <c r="H879" s="5">
        <v>1</v>
      </c>
      <c r="I879" s="5" t="s">
        <v>174</v>
      </c>
      <c r="J879" s="5" t="s">
        <v>175</v>
      </c>
    </row>
    <row r="880" spans="1:10" ht="115.2" x14ac:dyDescent="0.3">
      <c r="A880" s="5" t="str">
        <f>HYPERLINK("https://grants.gov/search-results-detail/169333","RFA-674-12-000006")</f>
        <v>RFA-674-12-000006</v>
      </c>
      <c r="B880" s="5" t="s">
        <v>2813</v>
      </c>
      <c r="C880" s="5" t="s">
        <v>172</v>
      </c>
      <c r="D880" s="5" t="s">
        <v>173</v>
      </c>
      <c r="E880" s="5"/>
      <c r="F880" s="8">
        <v>20000000</v>
      </c>
      <c r="G880" s="8">
        <v>1</v>
      </c>
      <c r="H880" s="5">
        <v>5</v>
      </c>
      <c r="I880" s="5" t="s">
        <v>2814</v>
      </c>
      <c r="J880" s="5" t="s">
        <v>2815</v>
      </c>
    </row>
    <row r="881" spans="1:10" ht="115.2" x14ac:dyDescent="0.3">
      <c r="A881" s="5" t="str">
        <f>HYPERLINK("https://grants.gov/search-results-detail/169154","RFA-674-12-000005")</f>
        <v>RFA-674-12-000005</v>
      </c>
      <c r="B881" s="5" t="s">
        <v>2816</v>
      </c>
      <c r="C881" s="5" t="s">
        <v>172</v>
      </c>
      <c r="D881" s="5" t="s">
        <v>173</v>
      </c>
      <c r="E881" s="5"/>
      <c r="F881" s="8">
        <v>20000000</v>
      </c>
      <c r="G881" s="8">
        <v>1</v>
      </c>
      <c r="H881" s="5">
        <v>4</v>
      </c>
      <c r="I881" s="5" t="s">
        <v>2817</v>
      </c>
      <c r="J881" s="5" t="s">
        <v>2818</v>
      </c>
    </row>
    <row r="882" spans="1:10" ht="72" x14ac:dyDescent="0.3">
      <c r="A882" s="5" t="str">
        <f>HYPERLINK("https://grants.gov/search-results-detail/133033","RFA-674-12-000002")</f>
        <v>RFA-674-12-000002</v>
      </c>
      <c r="B882" s="5" t="s">
        <v>2825</v>
      </c>
      <c r="C882" s="5" t="s">
        <v>172</v>
      </c>
      <c r="D882" s="5" t="s">
        <v>173</v>
      </c>
      <c r="E882" s="5"/>
      <c r="F882" s="8">
        <v>150000000</v>
      </c>
      <c r="G882" s="8">
        <v>10000000</v>
      </c>
      <c r="H882" s="5">
        <v>8</v>
      </c>
      <c r="I882" s="5" t="s">
        <v>2826</v>
      </c>
      <c r="J882" s="5" t="s">
        <v>2827</v>
      </c>
    </row>
    <row r="883" spans="1:10" ht="409.6" x14ac:dyDescent="0.3">
      <c r="A883" s="5" t="str">
        <f>HYPERLINK("https://grants.gov/search-results-detail/310897","RFI-685-19-RGN")</f>
        <v>RFI-685-19-RGN</v>
      </c>
      <c r="B883" s="5" t="s">
        <v>2650</v>
      </c>
      <c r="C883" s="5" t="s">
        <v>2651</v>
      </c>
      <c r="D883" s="5" t="s">
        <v>2652</v>
      </c>
      <c r="E883" s="5"/>
      <c r="F883" s="8">
        <v>0</v>
      </c>
      <c r="G883" s="8">
        <v>0</v>
      </c>
      <c r="H883" s="5"/>
      <c r="I883" s="5" t="s">
        <v>13</v>
      </c>
      <c r="J883" s="5" t="s">
        <v>2653</v>
      </c>
    </row>
    <row r="884" spans="1:10" ht="345.6" x14ac:dyDescent="0.3">
      <c r="A884" s="5" t="str">
        <f>HYPERLINK("https://grants.gov/search-results-detail/305335","RFI-625-18-RISEII-HSD")</f>
        <v>RFI-625-18-RISEII-HSD</v>
      </c>
      <c r="B884" s="5" t="s">
        <v>2683</v>
      </c>
      <c r="C884" s="5" t="s">
        <v>2651</v>
      </c>
      <c r="D884" s="5" t="s">
        <v>2652</v>
      </c>
      <c r="E884" s="5"/>
      <c r="F884" s="8" t="s">
        <v>8</v>
      </c>
      <c r="G884" s="8" t="s">
        <v>8</v>
      </c>
      <c r="H884" s="5">
        <v>1</v>
      </c>
      <c r="I884" s="5" t="s">
        <v>2684</v>
      </c>
      <c r="J884" s="5" t="s">
        <v>2685</v>
      </c>
    </row>
    <row r="885" spans="1:10" ht="409.6" x14ac:dyDescent="0.3">
      <c r="A885" s="5" t="str">
        <f>HYPERLINK("https://grants.gov/search-results-detail/300813","RFI-625-18-RISEII")</f>
        <v>RFI-625-18-RISEII</v>
      </c>
      <c r="B885" s="5" t="s">
        <v>2707</v>
      </c>
      <c r="C885" s="5" t="s">
        <v>2651</v>
      </c>
      <c r="D885" s="5" t="s">
        <v>2652</v>
      </c>
      <c r="E885" s="5"/>
      <c r="F885" s="8">
        <v>0</v>
      </c>
      <c r="G885" s="8">
        <v>0</v>
      </c>
      <c r="H885" s="5"/>
      <c r="I885" s="5" t="s">
        <v>2708</v>
      </c>
      <c r="J885" s="5" t="s">
        <v>2709</v>
      </c>
    </row>
    <row r="886" spans="1:10" ht="388.8" x14ac:dyDescent="0.3">
      <c r="A886" s="5" t="str">
        <f>HYPERLINK("https://grants.gov/search-results-detail/292502","RFI-383-17-GVP-CS")</f>
        <v>RFI-383-17-GVP-CS</v>
      </c>
      <c r="B886" s="5" t="s">
        <v>2727</v>
      </c>
      <c r="C886" s="5" t="s">
        <v>2728</v>
      </c>
      <c r="D886" s="5" t="s">
        <v>2729</v>
      </c>
      <c r="E886" s="5"/>
      <c r="F886" s="8">
        <v>10000000</v>
      </c>
      <c r="G886" s="8">
        <v>0</v>
      </c>
      <c r="H886" s="5">
        <v>1</v>
      </c>
      <c r="I886" s="5" t="s">
        <v>2730</v>
      </c>
      <c r="J886" s="5" t="s">
        <v>2731</v>
      </c>
    </row>
    <row r="887" spans="1:10" ht="409.6" x14ac:dyDescent="0.3">
      <c r="A887" s="5" t="str">
        <f>HYPERLINK("https://grants.gov/search-results-detail/275378","USAID-RDMA-486-15-000011-PRESOLNOTICE")</f>
        <v>USAID-RDMA-486-15-000011-PRESOLNOTICE</v>
      </c>
      <c r="B887" s="5" t="s">
        <v>2755</v>
      </c>
      <c r="C887" s="5" t="s">
        <v>2756</v>
      </c>
      <c r="D887" s="5" t="s">
        <v>2757</v>
      </c>
      <c r="E887" s="5"/>
      <c r="F887" s="8">
        <v>0</v>
      </c>
      <c r="G887" s="8">
        <v>0</v>
      </c>
      <c r="H887" s="5">
        <v>0</v>
      </c>
      <c r="I887" s="5" t="s">
        <v>2758</v>
      </c>
      <c r="J887" s="5" t="s">
        <v>2759</v>
      </c>
    </row>
    <row r="888" spans="1:10" ht="409.6" x14ac:dyDescent="0.3">
      <c r="A888" s="5" t="str">
        <f>HYPERLINK("https://grants.gov/search-results-detail/42423","306-08-027-RFI")</f>
        <v>306-08-027-RFI</v>
      </c>
      <c r="B888" s="5" t="s">
        <v>2872</v>
      </c>
      <c r="C888" s="5" t="s">
        <v>2756</v>
      </c>
      <c r="D888" s="5" t="s">
        <v>2757</v>
      </c>
      <c r="E888" s="5"/>
      <c r="F888" s="8">
        <v>150000000</v>
      </c>
      <c r="G888" s="8">
        <v>0</v>
      </c>
      <c r="H888" s="5">
        <v>1</v>
      </c>
      <c r="I888" s="5" t="s">
        <v>13</v>
      </c>
      <c r="J888" s="5" t="s">
        <v>2873</v>
      </c>
    </row>
    <row r="889" spans="1:10" ht="273.60000000000002" x14ac:dyDescent="0.3">
      <c r="A889" s="5" t="str">
        <f>HYPERLINK("https://grants.gov/search-results-detail/90013","USAID-UGANDA-617-INFORMATION-04-2011")</f>
        <v>USAID-UGANDA-617-INFORMATION-04-2011</v>
      </c>
      <c r="B889" s="5" t="s">
        <v>2839</v>
      </c>
      <c r="C889" s="5" t="s">
        <v>2840</v>
      </c>
      <c r="D889" s="5" t="s">
        <v>2841</v>
      </c>
      <c r="E889" s="5"/>
      <c r="F889" s="8">
        <v>0</v>
      </c>
      <c r="G889" s="8">
        <v>0</v>
      </c>
      <c r="H889" s="5"/>
      <c r="I889" s="5" t="s">
        <v>13</v>
      </c>
      <c r="J889" s="5" t="s">
        <v>2842</v>
      </c>
    </row>
    <row r="890" spans="1:10" ht="187.2" x14ac:dyDescent="0.3">
      <c r="A890" s="5" t="str">
        <f>HYPERLINK("https://grants.gov/search-results-detail/59713","USAID-UGANDA-617-INFOMATION-10-2010")</f>
        <v>USAID-UGANDA-617-INFOMATION-10-2010</v>
      </c>
      <c r="B890" s="5" t="s">
        <v>2843</v>
      </c>
      <c r="C890" s="5" t="s">
        <v>2840</v>
      </c>
      <c r="D890" s="5" t="s">
        <v>2841</v>
      </c>
      <c r="E890" s="5"/>
      <c r="F890" s="8" t="s">
        <v>8</v>
      </c>
      <c r="G890" s="8" t="s">
        <v>8</v>
      </c>
      <c r="H890" s="5">
        <v>0</v>
      </c>
      <c r="I890" s="5" t="s">
        <v>13</v>
      </c>
      <c r="J890" s="5" t="s">
        <v>2844</v>
      </c>
    </row>
    <row r="891" spans="1:10" ht="409.6" x14ac:dyDescent="0.3">
      <c r="A891" s="5" t="str">
        <f>HYPERLINK("https://grants.gov/search-results-detail/357353","72012125RFA00002")</f>
        <v>72012125RFA00002</v>
      </c>
      <c r="B891" s="5" t="s">
        <v>1294</v>
      </c>
      <c r="C891" s="5" t="s">
        <v>1295</v>
      </c>
      <c r="D891" s="5" t="s">
        <v>1296</v>
      </c>
      <c r="E891" s="6">
        <v>45672</v>
      </c>
      <c r="F891" s="8">
        <v>50000000</v>
      </c>
      <c r="G891" s="8">
        <v>0</v>
      </c>
      <c r="H891" s="5"/>
      <c r="I891" s="5" t="s">
        <v>13</v>
      </c>
      <c r="J891" s="5" t="s">
        <v>1297</v>
      </c>
    </row>
    <row r="892" spans="1:10" ht="129.6" x14ac:dyDescent="0.3">
      <c r="A892" s="5" t="str">
        <f>HYPERLINK("https://grants.gov/search-results-detail/347779","72044023RFA00003")</f>
        <v>72044023RFA00003</v>
      </c>
      <c r="B892" s="5" t="s">
        <v>2263</v>
      </c>
      <c r="C892" s="5" t="s">
        <v>2264</v>
      </c>
      <c r="D892" s="5" t="s">
        <v>2265</v>
      </c>
      <c r="E892" s="5"/>
      <c r="F892" s="8">
        <v>48000000</v>
      </c>
      <c r="G892" s="8">
        <v>0</v>
      </c>
      <c r="H892" s="5">
        <v>1</v>
      </c>
      <c r="I892" s="5" t="s">
        <v>13</v>
      </c>
      <c r="J892" s="5" t="s">
        <v>2266</v>
      </c>
    </row>
    <row r="893" spans="1:10" ht="115.2" x14ac:dyDescent="0.3">
      <c r="A893" s="5" t="str">
        <f>HYPERLINK("https://grants.gov/search-results-detail/341347","72044022RFA00005")</f>
        <v>72044022RFA00005</v>
      </c>
      <c r="B893" s="5" t="s">
        <v>2409</v>
      </c>
      <c r="C893" s="5" t="s">
        <v>2264</v>
      </c>
      <c r="D893" s="5" t="s">
        <v>2265</v>
      </c>
      <c r="E893" s="5"/>
      <c r="F893" s="8">
        <v>12500000</v>
      </c>
      <c r="G893" s="8">
        <v>0</v>
      </c>
      <c r="H893" s="5">
        <v>1</v>
      </c>
      <c r="I893" s="5" t="s">
        <v>13</v>
      </c>
      <c r="J893" s="5" t="s">
        <v>2410</v>
      </c>
    </row>
    <row r="894" spans="1:10" ht="144" x14ac:dyDescent="0.3">
      <c r="A894" s="5" t="str">
        <f>HYPERLINK("https://grants.gov/search-results-detail/340203","72044022RFA00003")</f>
        <v>72044022RFA00003</v>
      </c>
      <c r="B894" s="5" t="s">
        <v>2419</v>
      </c>
      <c r="C894" s="5" t="s">
        <v>2264</v>
      </c>
      <c r="D894" s="5" t="s">
        <v>2265</v>
      </c>
      <c r="E894" s="5"/>
      <c r="F894" s="8">
        <v>5514000</v>
      </c>
      <c r="G894" s="8">
        <v>0</v>
      </c>
      <c r="H894" s="5">
        <v>1</v>
      </c>
      <c r="I894" s="5" t="s">
        <v>2420</v>
      </c>
      <c r="J894" s="5" t="s">
        <v>2421</v>
      </c>
    </row>
    <row r="895" spans="1:10" ht="187.2" x14ac:dyDescent="0.3">
      <c r="A895" s="5" t="str">
        <f>HYPERLINK("https://grants.gov/search-results-detail/339224","72044022RFA00002")</f>
        <v>72044022RFA00002</v>
      </c>
      <c r="B895" s="5" t="s">
        <v>2433</v>
      </c>
      <c r="C895" s="5" t="s">
        <v>2264</v>
      </c>
      <c r="D895" s="5" t="s">
        <v>2265</v>
      </c>
      <c r="E895" s="5"/>
      <c r="F895" s="8">
        <v>21400000</v>
      </c>
      <c r="G895" s="8">
        <v>0</v>
      </c>
      <c r="H895" s="5">
        <v>1</v>
      </c>
      <c r="I895" s="5" t="s">
        <v>13</v>
      </c>
      <c r="J895" s="5" t="s">
        <v>2434</v>
      </c>
    </row>
    <row r="896" spans="1:10" ht="100.8" x14ac:dyDescent="0.3">
      <c r="A896" s="5" t="str">
        <f>HYPERLINK("https://grants.gov/search-results-detail/331900","72044021RFA00003")</f>
        <v>72044021RFA00003</v>
      </c>
      <c r="B896" s="5" t="s">
        <v>2525</v>
      </c>
      <c r="C896" s="5" t="s">
        <v>2264</v>
      </c>
      <c r="D896" s="5" t="s">
        <v>2265</v>
      </c>
      <c r="E896" s="5"/>
      <c r="F896" s="8">
        <v>14200000</v>
      </c>
      <c r="G896" s="8">
        <v>0</v>
      </c>
      <c r="H896" s="5">
        <v>1</v>
      </c>
      <c r="I896" s="5" t="s">
        <v>2420</v>
      </c>
      <c r="J896" s="5" t="s">
        <v>2526</v>
      </c>
    </row>
    <row r="897" spans="1:10" ht="86.4" x14ac:dyDescent="0.3">
      <c r="A897" s="5" t="str">
        <f>HYPERLINK("https://grants.gov/search-results-detail/331032","72044021RFA00002")</f>
        <v>72044021RFA00002</v>
      </c>
      <c r="B897" s="5" t="s">
        <v>2532</v>
      </c>
      <c r="C897" s="5" t="s">
        <v>2264</v>
      </c>
      <c r="D897" s="5" t="s">
        <v>2265</v>
      </c>
      <c r="E897" s="5"/>
      <c r="F897" s="8">
        <v>11300000</v>
      </c>
      <c r="G897" s="8">
        <v>0</v>
      </c>
      <c r="H897" s="5">
        <v>1</v>
      </c>
      <c r="I897" s="5" t="s">
        <v>13</v>
      </c>
      <c r="J897" s="5" t="s">
        <v>2533</v>
      </c>
    </row>
    <row r="898" spans="1:10" ht="230.4" x14ac:dyDescent="0.3">
      <c r="A898" s="5" t="str">
        <f>HYPERLINK("https://grants.gov/search-results-detail/330715","72044021RFA00001")</f>
        <v>72044021RFA00001</v>
      </c>
      <c r="B898" s="5" t="s">
        <v>2537</v>
      </c>
      <c r="C898" s="5" t="s">
        <v>2264</v>
      </c>
      <c r="D898" s="5" t="s">
        <v>2265</v>
      </c>
      <c r="E898" s="5"/>
      <c r="F898" s="8">
        <v>15000000</v>
      </c>
      <c r="G898" s="8">
        <v>0</v>
      </c>
      <c r="H898" s="5">
        <v>1</v>
      </c>
      <c r="I898" s="5" t="s">
        <v>13</v>
      </c>
      <c r="J898" s="5" t="s">
        <v>2538</v>
      </c>
    </row>
    <row r="899" spans="1:10" ht="244.8" x14ac:dyDescent="0.3">
      <c r="A899" s="5" t="str">
        <f>HYPERLINK("https://grants.gov/search-results-detail/330377","DRAFTPD-REDUCINGPOLLUTION")</f>
        <v>DRAFTPD-REDUCINGPOLLUTION</v>
      </c>
      <c r="B899" s="5" t="s">
        <v>2532</v>
      </c>
      <c r="C899" s="5" t="s">
        <v>2264</v>
      </c>
      <c r="D899" s="5" t="s">
        <v>2265</v>
      </c>
      <c r="E899" s="5"/>
      <c r="F899" s="8" t="s">
        <v>8</v>
      </c>
      <c r="G899" s="8" t="s">
        <v>8</v>
      </c>
      <c r="H899" s="5">
        <v>1</v>
      </c>
      <c r="I899" s="5" t="s">
        <v>13</v>
      </c>
      <c r="J899" s="5" t="s">
        <v>2542</v>
      </c>
    </row>
    <row r="900" spans="1:10" ht="244.8" x14ac:dyDescent="0.3">
      <c r="A900" s="5" t="str">
        <f>HYPERLINK("https://grants.gov/search-results-detail/330363","DRAFTPD-HIGHEREDUCATION")</f>
        <v>DRAFTPD-HIGHEREDUCATION</v>
      </c>
      <c r="B900" s="5" t="s">
        <v>2525</v>
      </c>
      <c r="C900" s="5" t="s">
        <v>2264</v>
      </c>
      <c r="D900" s="5" t="s">
        <v>2265</v>
      </c>
      <c r="E900" s="5"/>
      <c r="F900" s="8" t="s">
        <v>8</v>
      </c>
      <c r="G900" s="8" t="s">
        <v>8</v>
      </c>
      <c r="H900" s="5">
        <v>1</v>
      </c>
      <c r="I900" s="5" t="s">
        <v>13</v>
      </c>
      <c r="J900" s="5" t="s">
        <v>2543</v>
      </c>
    </row>
    <row r="901" spans="1:10" ht="273.60000000000002" x14ac:dyDescent="0.3">
      <c r="A901" s="5" t="str">
        <f>HYPERLINK("https://grants.gov/search-results-detail/329769","DRAFTPD-CWT")</f>
        <v>DRAFTPD-CWT</v>
      </c>
      <c r="B901" s="5" t="s">
        <v>2553</v>
      </c>
      <c r="C901" s="5" t="s">
        <v>2264</v>
      </c>
      <c r="D901" s="5" t="s">
        <v>2265</v>
      </c>
      <c r="E901" s="5"/>
      <c r="F901" s="8">
        <v>16000000</v>
      </c>
      <c r="G901" s="8">
        <v>14000000</v>
      </c>
      <c r="H901" s="5">
        <v>1</v>
      </c>
      <c r="I901" s="5" t="s">
        <v>13</v>
      </c>
      <c r="J901" s="5" t="s">
        <v>2554</v>
      </c>
    </row>
    <row r="902" spans="1:10" ht="43.2" x14ac:dyDescent="0.3">
      <c r="A902" s="5" t="str">
        <f>HYPERLINK("https://grants.gov/search-results-detail/324942","72044020RFA00004")</f>
        <v>72044020RFA00004</v>
      </c>
      <c r="B902" s="5" t="s">
        <v>2598</v>
      </c>
      <c r="C902" s="5" t="s">
        <v>2264</v>
      </c>
      <c r="D902" s="5" t="s">
        <v>2265</v>
      </c>
      <c r="E902" s="5"/>
      <c r="F902" s="8">
        <v>38000000</v>
      </c>
      <c r="G902" s="8">
        <v>1</v>
      </c>
      <c r="H902" s="5">
        <v>1</v>
      </c>
      <c r="I902" s="5" t="s">
        <v>13</v>
      </c>
      <c r="J902" s="5" t="s">
        <v>2599</v>
      </c>
    </row>
    <row r="903" spans="1:10" ht="331.2" x14ac:dyDescent="0.3">
      <c r="A903" s="5" t="str">
        <f>HYPERLINK("https://grants.gov/search-results-detail/357833","72064125RFA00001")</f>
        <v>72064125RFA00001</v>
      </c>
      <c r="B903" s="5" t="s">
        <v>230</v>
      </c>
      <c r="C903" s="5" t="s">
        <v>231</v>
      </c>
      <c r="D903" s="5" t="s">
        <v>232</v>
      </c>
      <c r="E903" s="6">
        <v>45719</v>
      </c>
      <c r="F903" s="8">
        <v>9999862</v>
      </c>
      <c r="G903" s="8">
        <v>9999862</v>
      </c>
      <c r="H903" s="5">
        <v>1</v>
      </c>
      <c r="I903" s="5" t="s">
        <v>233</v>
      </c>
      <c r="J903" s="5" t="s">
        <v>234</v>
      </c>
    </row>
    <row r="904" spans="1:10" ht="331.2" x14ac:dyDescent="0.3">
      <c r="A904" s="5" t="str">
        <f>HYPERLINK("https://grants.gov/search-results-detail/356147","72062424RFA00010")</f>
        <v>72062424RFA00010</v>
      </c>
      <c r="B904" s="5" t="s">
        <v>1935</v>
      </c>
      <c r="C904" s="5" t="s">
        <v>231</v>
      </c>
      <c r="D904" s="5" t="s">
        <v>232</v>
      </c>
      <c r="E904" s="5"/>
      <c r="F904" s="8">
        <v>5000000</v>
      </c>
      <c r="G904" s="8">
        <v>5000000</v>
      </c>
      <c r="H904" s="5">
        <v>1</v>
      </c>
      <c r="I904" s="5" t="s">
        <v>1936</v>
      </c>
      <c r="J904" s="5" t="s">
        <v>1937</v>
      </c>
    </row>
    <row r="905" spans="1:10" ht="331.2" x14ac:dyDescent="0.3">
      <c r="A905" s="5" t="str">
        <f>HYPERLINK("https://grants.gov/search-results-detail/356146","72062424RFA00009")</f>
        <v>72062424RFA00009</v>
      </c>
      <c r="B905" s="5" t="s">
        <v>1938</v>
      </c>
      <c r="C905" s="5" t="s">
        <v>231</v>
      </c>
      <c r="D905" s="5" t="s">
        <v>232</v>
      </c>
      <c r="E905" s="5"/>
      <c r="F905" s="8">
        <v>5000000</v>
      </c>
      <c r="G905" s="8">
        <v>5000000</v>
      </c>
      <c r="H905" s="5">
        <v>1</v>
      </c>
      <c r="I905" s="5" t="s">
        <v>1939</v>
      </c>
      <c r="J905" s="5" t="s">
        <v>1940</v>
      </c>
    </row>
    <row r="906" spans="1:10" ht="409.6" x14ac:dyDescent="0.3">
      <c r="A906" s="5" t="str">
        <f>HYPERLINK("https://grants.gov/search-results-detail/281959","PRE-SOLICITATION-624-16-000001")</f>
        <v>PRE-SOLICITATION-624-16-000001</v>
      </c>
      <c r="B906" s="5" t="s">
        <v>2744</v>
      </c>
      <c r="C906" s="5" t="s">
        <v>231</v>
      </c>
      <c r="D906" s="5" t="s">
        <v>232</v>
      </c>
      <c r="E906" s="5"/>
      <c r="F906" s="8">
        <v>25000000</v>
      </c>
      <c r="G906" s="8">
        <v>15000000</v>
      </c>
      <c r="H906" s="5">
        <v>1</v>
      </c>
      <c r="I906" s="5" t="s">
        <v>2745</v>
      </c>
      <c r="J906" s="5" t="s">
        <v>2746</v>
      </c>
    </row>
    <row r="907" spans="1:10" ht="409.6" x14ac:dyDescent="0.3">
      <c r="A907" s="5" t="str">
        <f>HYPERLINK("https://grants.gov/search-results-detail/358005","72029425APS00001")</f>
        <v>72029425APS00001</v>
      </c>
      <c r="B907" s="5" t="s">
        <v>652</v>
      </c>
      <c r="C907" s="5" t="s">
        <v>653</v>
      </c>
      <c r="D907" s="5" t="s">
        <v>654</v>
      </c>
      <c r="E907" s="6">
        <v>45720</v>
      </c>
      <c r="F907" s="8">
        <v>5000000</v>
      </c>
      <c r="G907" s="8">
        <v>250000</v>
      </c>
      <c r="H907" s="5"/>
      <c r="I907" s="5" t="s">
        <v>655</v>
      </c>
      <c r="J907" s="5" t="s">
        <v>656</v>
      </c>
    </row>
    <row r="908" spans="1:10" ht="388.8" x14ac:dyDescent="0.3">
      <c r="A908" s="5" t="str">
        <f>HYPERLINK("https://grants.gov/search-results-detail/300980","72029418RFA00003")</f>
        <v>72029418RFA00003</v>
      </c>
      <c r="B908" s="5" t="s">
        <v>2704</v>
      </c>
      <c r="C908" s="5" t="s">
        <v>653</v>
      </c>
      <c r="D908" s="5" t="s">
        <v>654</v>
      </c>
      <c r="E908" s="5"/>
      <c r="F908" s="8">
        <v>9000000</v>
      </c>
      <c r="G908" s="8">
        <v>0</v>
      </c>
      <c r="H908" s="5"/>
      <c r="I908" s="5" t="s">
        <v>2705</v>
      </c>
      <c r="J908" s="5" t="s">
        <v>2706</v>
      </c>
    </row>
    <row r="909" spans="1:10" ht="409.6" x14ac:dyDescent="0.3">
      <c r="A909" s="5" t="str">
        <f>HYPERLINK("https://grants.gov/search-results-detail/175614","RFA-294-12-000002")</f>
        <v>RFA-294-12-000002</v>
      </c>
      <c r="B909" s="5" t="s">
        <v>2810</v>
      </c>
      <c r="C909" s="5" t="s">
        <v>653</v>
      </c>
      <c r="D909" s="5" t="s">
        <v>654</v>
      </c>
      <c r="E909" s="5"/>
      <c r="F909" s="8">
        <v>20000000</v>
      </c>
      <c r="G909" s="8">
        <v>4000000</v>
      </c>
      <c r="H909" s="5">
        <v>1</v>
      </c>
      <c r="I909" s="5" t="s">
        <v>2811</v>
      </c>
      <c r="J909" s="5" t="s">
        <v>2812</v>
      </c>
    </row>
    <row r="910" spans="1:10" ht="409.6" x14ac:dyDescent="0.3">
      <c r="A910" s="5" t="str">
        <f>HYPERLINK("https://grants.gov/search-results-detail/55065","RFA294-2010-117")</f>
        <v>RFA294-2010-117</v>
      </c>
      <c r="B910" s="5" t="s">
        <v>2845</v>
      </c>
      <c r="C910" s="5" t="s">
        <v>653</v>
      </c>
      <c r="D910" s="5" t="s">
        <v>654</v>
      </c>
      <c r="E910" s="5"/>
      <c r="F910" s="8">
        <v>100000000</v>
      </c>
      <c r="G910" s="8">
        <v>30800000</v>
      </c>
      <c r="H910" s="5">
        <v>1</v>
      </c>
      <c r="I910" s="5" t="s">
        <v>2846</v>
      </c>
      <c r="J910" s="5" t="s">
        <v>2847</v>
      </c>
    </row>
    <row r="911" spans="1:10" ht="409.6" x14ac:dyDescent="0.3">
      <c r="A911" s="5" t="str">
        <f>HYPERLINK("https://grants.gov/search-results-detail/54170","RFA294-2010-115")</f>
        <v>RFA294-2010-115</v>
      </c>
      <c r="B911" s="5" t="s">
        <v>2848</v>
      </c>
      <c r="C911" s="5" t="s">
        <v>653</v>
      </c>
      <c r="D911" s="5" t="s">
        <v>654</v>
      </c>
      <c r="E911" s="5"/>
      <c r="F911" s="8">
        <v>18000000</v>
      </c>
      <c r="G911" s="8">
        <v>6000000</v>
      </c>
      <c r="H911" s="5">
        <v>1</v>
      </c>
      <c r="I911" s="5" t="s">
        <v>2849</v>
      </c>
      <c r="J911" s="5" t="s">
        <v>2850</v>
      </c>
    </row>
    <row r="912" spans="1:10" ht="409.6" x14ac:dyDescent="0.3">
      <c r="A912" s="5" t="str">
        <f>HYPERLINK("https://grants.gov/search-results-detail/53806","RFA294-2010-113")</f>
        <v>RFA294-2010-113</v>
      </c>
      <c r="B912" s="5" t="s">
        <v>2851</v>
      </c>
      <c r="C912" s="5" t="s">
        <v>653</v>
      </c>
      <c r="D912" s="5" t="s">
        <v>654</v>
      </c>
      <c r="E912" s="5"/>
      <c r="F912" s="8">
        <v>100000000</v>
      </c>
      <c r="G912" s="8">
        <v>15000000</v>
      </c>
      <c r="H912" s="5">
        <v>1</v>
      </c>
      <c r="I912" s="5" t="s">
        <v>2852</v>
      </c>
      <c r="J912" s="5" t="s">
        <v>2853</v>
      </c>
    </row>
    <row r="913" spans="1:10" ht="302.39999999999998" x14ac:dyDescent="0.3">
      <c r="A913" s="5" t="str">
        <f>HYPERLINK("https://grants.gov/search-results-detail/356805","USDA-APHIS-10025-VSSP0000-25-0002")</f>
        <v>USDA-APHIS-10025-VSSP0000-25-0002</v>
      </c>
      <c r="B913" s="5" t="s">
        <v>1665</v>
      </c>
      <c r="C913" s="5" t="s">
        <v>1666</v>
      </c>
      <c r="D913" s="5" t="s">
        <v>1667</v>
      </c>
      <c r="E913" s="6">
        <v>45681</v>
      </c>
      <c r="F913" s="8" t="s">
        <v>8</v>
      </c>
      <c r="G913" s="8" t="s">
        <v>8</v>
      </c>
      <c r="H913" s="5"/>
      <c r="I913" s="5" t="s">
        <v>1668</v>
      </c>
      <c r="J913" s="5" t="s">
        <v>1669</v>
      </c>
    </row>
    <row r="914" spans="1:10" ht="158.4" x14ac:dyDescent="0.3">
      <c r="A914" s="5" t="str">
        <f>HYPERLINK("https://grants.gov/search-results-detail/357968","USDA-FAS-10960-0700-10-25-0006")</f>
        <v>USDA-FAS-10960-0700-10-25-0006</v>
      </c>
      <c r="B914" s="5" t="s">
        <v>5</v>
      </c>
      <c r="C914" s="5" t="s">
        <v>6</v>
      </c>
      <c r="D914" s="5" t="s">
        <v>7</v>
      </c>
      <c r="E914" s="6">
        <v>45691</v>
      </c>
      <c r="F914" s="8">
        <v>250000</v>
      </c>
      <c r="G914" s="8" t="s">
        <v>8</v>
      </c>
      <c r="H914" s="5">
        <v>1</v>
      </c>
      <c r="I914" s="5" t="s">
        <v>9</v>
      </c>
      <c r="J914" s="5" t="s">
        <v>10</v>
      </c>
    </row>
    <row r="915" spans="1:10" ht="288" x14ac:dyDescent="0.3">
      <c r="A915" s="5" t="str">
        <f>HYPERLINK("https://grants.gov/search-results-detail/356933","USDA-FS-2025-COHESIVE-STRATEGY")</f>
        <v>USDA-FS-2025-COHESIVE-STRATEGY</v>
      </c>
      <c r="B915" s="5" t="s">
        <v>1464</v>
      </c>
      <c r="C915" s="5" t="s">
        <v>1371</v>
      </c>
      <c r="D915" s="5" t="s">
        <v>1372</v>
      </c>
      <c r="E915" s="6">
        <v>45672</v>
      </c>
      <c r="F915" s="8">
        <v>300000</v>
      </c>
      <c r="G915" s="8">
        <v>25000</v>
      </c>
      <c r="H915" s="5">
        <v>25</v>
      </c>
      <c r="I915" s="5" t="s">
        <v>1465</v>
      </c>
      <c r="J915" s="5" t="s">
        <v>1466</v>
      </c>
    </row>
    <row r="916" spans="1:10" ht="388.8" x14ac:dyDescent="0.3">
      <c r="A916" s="5" t="str">
        <f>HYPERLINK("https://grants.gov/search-results-detail/356926","USDA-FS-FY25-R8-WILDFIRE-MITIGATION")</f>
        <v>USDA-FS-FY25-R8-WILDFIRE-MITIGATION</v>
      </c>
      <c r="B916" s="5" t="s">
        <v>1443</v>
      </c>
      <c r="C916" s="5" t="s">
        <v>1371</v>
      </c>
      <c r="D916" s="5" t="s">
        <v>1372</v>
      </c>
      <c r="E916" s="6">
        <v>45679</v>
      </c>
      <c r="F916" s="8">
        <v>300000</v>
      </c>
      <c r="G916" s="8">
        <v>25000</v>
      </c>
      <c r="H916" s="5">
        <v>30</v>
      </c>
      <c r="I916" s="5" t="s">
        <v>1444</v>
      </c>
      <c r="J916" s="5" t="s">
        <v>1445</v>
      </c>
    </row>
    <row r="917" spans="1:10" ht="409.6" x14ac:dyDescent="0.3">
      <c r="A917" s="5" t="str">
        <f>HYPERLINK("https://grants.gov/search-results-detail/356647","USDA-FS-R13-2024-24-22-FSH")</f>
        <v>USDA-FS-R13-2024-24-22-FSH</v>
      </c>
      <c r="B917" s="5" t="s">
        <v>1790</v>
      </c>
      <c r="C917" s="5" t="s">
        <v>1371</v>
      </c>
      <c r="D917" s="5" t="s">
        <v>1372</v>
      </c>
      <c r="E917" s="6">
        <v>45695</v>
      </c>
      <c r="F917" s="8">
        <v>0</v>
      </c>
      <c r="G917" s="8">
        <v>0</v>
      </c>
      <c r="H917" s="5"/>
      <c r="I917" s="5" t="s">
        <v>1791</v>
      </c>
      <c r="J917" s="5" t="s">
        <v>1792</v>
      </c>
    </row>
    <row r="918" spans="1:10" ht="409.6" x14ac:dyDescent="0.3">
      <c r="A918" s="5" t="str">
        <f>HYPERLINK("https://grants.gov/search-results-detail/356656","USDA-FS-R13-2024-24-22-WLF-03")</f>
        <v>USDA-FS-R13-2024-24-22-WLF-03</v>
      </c>
      <c r="B918" s="5" t="s">
        <v>1793</v>
      </c>
      <c r="C918" s="5" t="s">
        <v>1371</v>
      </c>
      <c r="D918" s="5" t="s">
        <v>1372</v>
      </c>
      <c r="E918" s="6">
        <v>45695</v>
      </c>
      <c r="F918" s="8">
        <v>0</v>
      </c>
      <c r="G918" s="8">
        <v>0</v>
      </c>
      <c r="H918" s="5"/>
      <c r="I918" s="5" t="s">
        <v>1791</v>
      </c>
      <c r="J918" s="5" t="s">
        <v>1794</v>
      </c>
    </row>
    <row r="919" spans="1:10" ht="409.6" x14ac:dyDescent="0.3">
      <c r="A919" s="5" t="str">
        <f>HYPERLINK("https://grants.gov/search-results-detail/356655","USDA-FS-R13-2024-24-22-WLF-01")</f>
        <v>USDA-FS-R13-2024-24-22-WLF-01</v>
      </c>
      <c r="B919" s="5" t="s">
        <v>1795</v>
      </c>
      <c r="C919" s="5" t="s">
        <v>1371</v>
      </c>
      <c r="D919" s="5" t="s">
        <v>1372</v>
      </c>
      <c r="E919" s="6">
        <v>45695</v>
      </c>
      <c r="F919" s="8">
        <v>0</v>
      </c>
      <c r="G919" s="8">
        <v>0</v>
      </c>
      <c r="H919" s="5"/>
      <c r="I919" s="5" t="s">
        <v>1791</v>
      </c>
      <c r="J919" s="5" t="s">
        <v>1796</v>
      </c>
    </row>
    <row r="920" spans="1:10" ht="409.6" x14ac:dyDescent="0.3">
      <c r="A920" s="5" t="str">
        <f>HYPERLINK("https://grants.gov/search-results-detail/356658","USDA-FS-R13-2024-24-22-WLF-02")</f>
        <v>USDA-FS-R13-2024-24-22-WLF-02</v>
      </c>
      <c r="B920" s="5" t="s">
        <v>1797</v>
      </c>
      <c r="C920" s="5" t="s">
        <v>1371</v>
      </c>
      <c r="D920" s="5" t="s">
        <v>1372</v>
      </c>
      <c r="E920" s="6">
        <v>45695</v>
      </c>
      <c r="F920" s="8">
        <v>0</v>
      </c>
      <c r="G920" s="8">
        <v>0</v>
      </c>
      <c r="H920" s="5"/>
      <c r="I920" s="5" t="s">
        <v>1791</v>
      </c>
      <c r="J920" s="5" t="s">
        <v>1798</v>
      </c>
    </row>
    <row r="921" spans="1:10" ht="409.6" x14ac:dyDescent="0.3">
      <c r="A921" s="5" t="str">
        <f>HYPERLINK("https://grants.gov/search-results-detail/356657","USDA-FS-R13-2024-24-25-VE-01")</f>
        <v>USDA-FS-R13-2024-24-25-VE-01</v>
      </c>
      <c r="B921" s="5" t="s">
        <v>1799</v>
      </c>
      <c r="C921" s="5" t="s">
        <v>1371</v>
      </c>
      <c r="D921" s="5" t="s">
        <v>1372</v>
      </c>
      <c r="E921" s="6">
        <v>45695</v>
      </c>
      <c r="F921" s="8">
        <v>0</v>
      </c>
      <c r="G921" s="8">
        <v>0</v>
      </c>
      <c r="H921" s="5"/>
      <c r="I921" s="5" t="s">
        <v>1791</v>
      </c>
      <c r="J921" s="5" t="s">
        <v>1800</v>
      </c>
    </row>
    <row r="922" spans="1:10" ht="409.6" x14ac:dyDescent="0.3">
      <c r="A922" s="5" t="str">
        <f>HYPERLINK("https://grants.gov/search-results-detail/356649","USDA-FS-R13-2024-24-25-VE-02")</f>
        <v>USDA-FS-R13-2024-24-25-VE-02</v>
      </c>
      <c r="B922" s="5" t="s">
        <v>1801</v>
      </c>
      <c r="C922" s="5" t="s">
        <v>1371</v>
      </c>
      <c r="D922" s="5" t="s">
        <v>1372</v>
      </c>
      <c r="E922" s="6">
        <v>45695</v>
      </c>
      <c r="F922" s="8">
        <v>0</v>
      </c>
      <c r="G922" s="8">
        <v>0</v>
      </c>
      <c r="H922" s="5"/>
      <c r="I922" s="5" t="s">
        <v>1791</v>
      </c>
      <c r="J922" s="5" t="s">
        <v>1802</v>
      </c>
    </row>
    <row r="923" spans="1:10" ht="409.6" x14ac:dyDescent="0.3">
      <c r="A923" s="5" t="str">
        <f>HYPERLINK("https://grants.gov/search-results-detail/356650","USDA-FS-R13-2024-24-25-RM")</f>
        <v>USDA-FS-R13-2024-24-25-RM</v>
      </c>
      <c r="B923" s="5" t="s">
        <v>1803</v>
      </c>
      <c r="C923" s="5" t="s">
        <v>1371</v>
      </c>
      <c r="D923" s="5" t="s">
        <v>1372</v>
      </c>
      <c r="E923" s="6">
        <v>45695</v>
      </c>
      <c r="F923" s="8">
        <v>0</v>
      </c>
      <c r="G923" s="8">
        <v>0</v>
      </c>
      <c r="H923" s="5"/>
      <c r="I923" s="5" t="s">
        <v>1791</v>
      </c>
      <c r="J923" s="5" t="s">
        <v>1804</v>
      </c>
    </row>
    <row r="924" spans="1:10" ht="409.6" x14ac:dyDescent="0.3">
      <c r="A924" s="5" t="str">
        <f>HYPERLINK("https://grants.gov/search-results-detail/356652","USDA-FS-R13-2024-24-24-HTG-02")</f>
        <v>USDA-FS-R13-2024-24-24-HTG-02</v>
      </c>
      <c r="B924" s="5" t="s">
        <v>1805</v>
      </c>
      <c r="C924" s="5" t="s">
        <v>1371</v>
      </c>
      <c r="D924" s="5" t="s">
        <v>1372</v>
      </c>
      <c r="E924" s="6">
        <v>45695</v>
      </c>
      <c r="F924" s="8">
        <v>0</v>
      </c>
      <c r="G924" s="8">
        <v>0</v>
      </c>
      <c r="H924" s="5"/>
      <c r="I924" s="5" t="s">
        <v>1791</v>
      </c>
      <c r="J924" s="5" t="s">
        <v>1806</v>
      </c>
    </row>
    <row r="925" spans="1:10" ht="409.6" x14ac:dyDescent="0.3">
      <c r="A925" s="5" t="str">
        <f>HYPERLINK("https://grants.gov/search-results-detail/356651","USDA-FS-R13-2024-24-24-HTG-01")</f>
        <v>USDA-FS-R13-2024-24-24-HTG-01</v>
      </c>
      <c r="B925" s="5" t="s">
        <v>1807</v>
      </c>
      <c r="C925" s="5" t="s">
        <v>1371</v>
      </c>
      <c r="D925" s="5" t="s">
        <v>1372</v>
      </c>
      <c r="E925" s="6">
        <v>45695</v>
      </c>
      <c r="F925" s="8">
        <v>0</v>
      </c>
      <c r="G925" s="8">
        <v>0</v>
      </c>
      <c r="H925" s="5"/>
      <c r="I925" s="5" t="s">
        <v>1791</v>
      </c>
      <c r="J925" s="5" t="s">
        <v>1808</v>
      </c>
    </row>
    <row r="926" spans="1:10" ht="409.6" x14ac:dyDescent="0.3">
      <c r="A926" s="5" t="str">
        <f>HYPERLINK("https://grants.gov/search-results-detail/356654","USDA-FS-R13-2024-24-24-REC-02")</f>
        <v>USDA-FS-R13-2024-24-24-REC-02</v>
      </c>
      <c r="B926" s="5" t="s">
        <v>1809</v>
      </c>
      <c r="C926" s="5" t="s">
        <v>1371</v>
      </c>
      <c r="D926" s="5" t="s">
        <v>1372</v>
      </c>
      <c r="E926" s="6">
        <v>45695</v>
      </c>
      <c r="F926" s="8">
        <v>0</v>
      </c>
      <c r="G926" s="8">
        <v>0</v>
      </c>
      <c r="H926" s="5"/>
      <c r="I926" s="5" t="s">
        <v>1791</v>
      </c>
      <c r="J926" s="5" t="s">
        <v>1810</v>
      </c>
    </row>
    <row r="927" spans="1:10" ht="409.6" x14ac:dyDescent="0.3">
      <c r="A927" s="5" t="str">
        <f>HYPERLINK("https://grants.gov/search-results-detail/356653","USDA-FS-R13-2024-24-24-REC-01")</f>
        <v>USDA-FS-R13-2024-24-24-REC-01</v>
      </c>
      <c r="B927" s="5" t="s">
        <v>1811</v>
      </c>
      <c r="C927" s="5" t="s">
        <v>1371</v>
      </c>
      <c r="D927" s="5" t="s">
        <v>1372</v>
      </c>
      <c r="E927" s="6">
        <v>45695</v>
      </c>
      <c r="F927" s="8">
        <v>0</v>
      </c>
      <c r="G927" s="8">
        <v>0</v>
      </c>
      <c r="H927" s="5"/>
      <c r="I927" s="5" t="s">
        <v>1791</v>
      </c>
      <c r="J927" s="5" t="s">
        <v>1812</v>
      </c>
    </row>
    <row r="928" spans="1:10" ht="409.6" x14ac:dyDescent="0.3">
      <c r="A928" s="5" t="str">
        <f>HYPERLINK("https://grants.gov/search-results-detail/357219","USDA-FS-2024-CWDG-NEMW")</f>
        <v>USDA-FS-2024-CWDG-NEMW</v>
      </c>
      <c r="B928" s="5" t="s">
        <v>1370</v>
      </c>
      <c r="C928" s="5" t="s">
        <v>1371</v>
      </c>
      <c r="D928" s="5" t="s">
        <v>1372</v>
      </c>
      <c r="E928" s="6">
        <v>45716</v>
      </c>
      <c r="F928" s="8">
        <v>10000000</v>
      </c>
      <c r="G928" s="8">
        <v>0</v>
      </c>
      <c r="H928" s="5">
        <v>100</v>
      </c>
      <c r="I928" s="5" t="s">
        <v>336</v>
      </c>
      <c r="J928" s="5" t="s">
        <v>1373</v>
      </c>
    </row>
    <row r="929" spans="1:10" ht="409.6" x14ac:dyDescent="0.3">
      <c r="A929" s="5" t="str">
        <f>HYPERLINK("https://grants.gov/search-results-detail/357222","USDA-FS-2024-CWDG-CWSF")</f>
        <v>USDA-FS-2024-CWDG-CWSF</v>
      </c>
      <c r="B929" s="5" t="s">
        <v>1374</v>
      </c>
      <c r="C929" s="5" t="s">
        <v>1371</v>
      </c>
      <c r="D929" s="5" t="s">
        <v>1372</v>
      </c>
      <c r="E929" s="6">
        <v>45716</v>
      </c>
      <c r="F929" s="8">
        <v>10000000</v>
      </c>
      <c r="G929" s="8">
        <v>0</v>
      </c>
      <c r="H929" s="5">
        <v>100</v>
      </c>
      <c r="I929" s="5" t="s">
        <v>758</v>
      </c>
      <c r="J929" s="5" t="s">
        <v>1373</v>
      </c>
    </row>
    <row r="930" spans="1:10" ht="409.6" x14ac:dyDescent="0.3">
      <c r="A930" s="5" t="str">
        <f>HYPERLINK("https://grants.gov/search-results-detail/357221","USDA-FS-2024-CWDG-SGSF")</f>
        <v>USDA-FS-2024-CWDG-SGSF</v>
      </c>
      <c r="B930" s="5" t="s">
        <v>1375</v>
      </c>
      <c r="C930" s="5" t="s">
        <v>1371</v>
      </c>
      <c r="D930" s="5" t="s">
        <v>1372</v>
      </c>
      <c r="E930" s="6">
        <v>45716</v>
      </c>
      <c r="F930" s="8">
        <v>10000000</v>
      </c>
      <c r="G930" s="8">
        <v>0</v>
      </c>
      <c r="H930" s="5">
        <v>100</v>
      </c>
      <c r="I930" s="5" t="s">
        <v>533</v>
      </c>
      <c r="J930" s="5" t="s">
        <v>1373</v>
      </c>
    </row>
    <row r="931" spans="1:10" ht="409.6" x14ac:dyDescent="0.3">
      <c r="A931" s="5" t="str">
        <f>HYPERLINK("https://grants.gov/search-results-detail/357223","USDA-FS-2024-CWDG-TRIBES")</f>
        <v>USDA-FS-2024-CWDG-TRIBES</v>
      </c>
      <c r="B931" s="5" t="s">
        <v>1376</v>
      </c>
      <c r="C931" s="5" t="s">
        <v>1371</v>
      </c>
      <c r="D931" s="5" t="s">
        <v>1372</v>
      </c>
      <c r="E931" s="6">
        <v>45716</v>
      </c>
      <c r="F931" s="8">
        <v>10000000</v>
      </c>
      <c r="G931" s="8">
        <v>0</v>
      </c>
      <c r="H931" s="5">
        <v>100</v>
      </c>
      <c r="I931" s="5" t="s">
        <v>304</v>
      </c>
      <c r="J931" s="5" t="s">
        <v>1373</v>
      </c>
    </row>
    <row r="932" spans="1:10" ht="273.60000000000002" x14ac:dyDescent="0.3">
      <c r="A932" s="5" t="str">
        <f>HYPERLINK("https://grants.gov/search-results-detail/357664","USDA-NIFA-ICGP-011076")</f>
        <v>USDA-NIFA-ICGP-011076</v>
      </c>
      <c r="B932" s="5" t="s">
        <v>920</v>
      </c>
      <c r="C932" s="5" t="s">
        <v>1</v>
      </c>
      <c r="D932" s="5" t="s">
        <v>2</v>
      </c>
      <c r="E932" s="6">
        <v>45701</v>
      </c>
      <c r="F932" s="8">
        <v>3500000</v>
      </c>
      <c r="G932" s="8">
        <v>5000</v>
      </c>
      <c r="H932" s="5">
        <v>23</v>
      </c>
      <c r="I932" s="5" t="s">
        <v>921</v>
      </c>
      <c r="J932" s="5" t="s">
        <v>922</v>
      </c>
    </row>
    <row r="933" spans="1:10" ht="409.6" x14ac:dyDescent="0.3">
      <c r="A933" s="5" t="str">
        <f>HYPERLINK("https://grants.gov/search-results-detail/357159","USDA-NIFA-SLBCD-011077")</f>
        <v>USDA-NIFA-SLBCD-011077</v>
      </c>
      <c r="B933" s="5" t="s">
        <v>1450</v>
      </c>
      <c r="C933" s="5" t="s">
        <v>1</v>
      </c>
      <c r="D933" s="5" t="s">
        <v>2</v>
      </c>
      <c r="E933" s="6">
        <v>45701</v>
      </c>
      <c r="F933" s="8">
        <v>115000</v>
      </c>
      <c r="G933" s="8">
        <v>10000</v>
      </c>
      <c r="H933" s="5">
        <v>4</v>
      </c>
      <c r="I933" s="5" t="s">
        <v>1451</v>
      </c>
      <c r="J933" s="5" t="s">
        <v>1452</v>
      </c>
    </row>
    <row r="934" spans="1:10" ht="388.8" x14ac:dyDescent="0.3">
      <c r="A934" s="5" t="str">
        <f>HYPERLINK("https://grants.gov/search-results-detail/357976","USDA-NIFA-FBMB-011074")</f>
        <v>USDA-NIFA-FBMB-011074</v>
      </c>
      <c r="B934" s="5" t="s">
        <v>14</v>
      </c>
      <c r="C934" s="5" t="s">
        <v>1</v>
      </c>
      <c r="D934" s="5" t="s">
        <v>2</v>
      </c>
      <c r="E934" s="6">
        <v>45708</v>
      </c>
      <c r="F934" s="8">
        <v>450000</v>
      </c>
      <c r="G934" s="8">
        <v>50000</v>
      </c>
      <c r="H934" s="5"/>
      <c r="I934" s="5" t="s">
        <v>15</v>
      </c>
      <c r="J934" s="5" t="s">
        <v>16</v>
      </c>
    </row>
    <row r="935" spans="1:10" ht="302.39999999999998" x14ac:dyDescent="0.3">
      <c r="A935" s="5" t="str">
        <f>HYPERLINK("https://grants.gov/search-results-detail/357967","USDA-NIFA-CPPM-011119")</f>
        <v>USDA-NIFA-CPPM-011119</v>
      </c>
      <c r="B935" s="5" t="s">
        <v>0</v>
      </c>
      <c r="C935" s="5" t="s">
        <v>1</v>
      </c>
      <c r="D935" s="5" t="s">
        <v>2</v>
      </c>
      <c r="E935" s="6">
        <v>45722</v>
      </c>
      <c r="F935" s="8">
        <v>325000</v>
      </c>
      <c r="G935" s="8">
        <v>200000</v>
      </c>
      <c r="H935" s="5">
        <v>8</v>
      </c>
      <c r="I935" s="5" t="s">
        <v>3</v>
      </c>
      <c r="J935" s="5" t="s">
        <v>4</v>
      </c>
    </row>
    <row r="936" spans="1:10" ht="360" x14ac:dyDescent="0.3">
      <c r="A936" s="5" t="str">
        <f>HYPERLINK("https://grants.gov/search-results-detail/357690","USDA-NIFA-ICGP-011075")</f>
        <v>USDA-NIFA-ICGP-011075</v>
      </c>
      <c r="B936" s="5" t="s">
        <v>847</v>
      </c>
      <c r="C936" s="5" t="s">
        <v>1</v>
      </c>
      <c r="D936" s="5" t="s">
        <v>2</v>
      </c>
      <c r="E936" s="6">
        <v>45722</v>
      </c>
      <c r="F936" s="8">
        <v>1000000</v>
      </c>
      <c r="G936" s="8">
        <v>5000</v>
      </c>
      <c r="H936" s="5">
        <v>12</v>
      </c>
      <c r="I936" s="5" t="s">
        <v>848</v>
      </c>
      <c r="J936" s="5" t="s">
        <v>849</v>
      </c>
    </row>
    <row r="937" spans="1:10" ht="158.4" x14ac:dyDescent="0.3">
      <c r="A937" s="5" t="str">
        <f>HYPERLINK("https://grants.gov/search-results-detail/356757","RDBCP-RBDG-2025")</f>
        <v>RDBCP-RBDG-2025</v>
      </c>
      <c r="B937" s="5" t="s">
        <v>1718</v>
      </c>
      <c r="C937" s="5" t="s">
        <v>1719</v>
      </c>
      <c r="D937" s="5" t="s">
        <v>1720</v>
      </c>
      <c r="E937" s="6">
        <v>45716</v>
      </c>
      <c r="F937" s="8" t="s">
        <v>8</v>
      </c>
      <c r="G937" s="8" t="s">
        <v>8</v>
      </c>
      <c r="H937" s="5">
        <v>450</v>
      </c>
      <c r="I937" s="5" t="s">
        <v>1721</v>
      </c>
      <c r="J937" s="5" t="s">
        <v>1722</v>
      </c>
    </row>
    <row r="938" spans="1:10" ht="100.8" x14ac:dyDescent="0.3">
      <c r="A938" s="5" t="str">
        <f>HYPERLINK("https://grants.gov/search-results-detail/310029","RDBCP-REAP-RES-EEI-2019")</f>
        <v>RDBCP-REAP-RES-EEI-2019</v>
      </c>
      <c r="B938" s="5" t="s">
        <v>2654</v>
      </c>
      <c r="C938" s="5" t="s">
        <v>1719</v>
      </c>
      <c r="D938" s="5" t="s">
        <v>1720</v>
      </c>
      <c r="E938" s="5"/>
      <c r="F938" s="8">
        <v>500000</v>
      </c>
      <c r="G938" s="8">
        <v>1500</v>
      </c>
      <c r="H938" s="5">
        <v>1000</v>
      </c>
      <c r="I938" s="5" t="s">
        <v>2655</v>
      </c>
      <c r="J938" s="5" t="s">
        <v>2656</v>
      </c>
    </row>
    <row r="939" spans="1:10" ht="144" x14ac:dyDescent="0.3">
      <c r="A939" s="5" t="str">
        <f>HYPERLINK("https://grants.gov/search-results-detail/279638","RDBCP-REAP-RES-EEI-2016")</f>
        <v>RDBCP-REAP-RES-EEI-2016</v>
      </c>
      <c r="B939" s="5" t="s">
        <v>2654</v>
      </c>
      <c r="C939" s="5" t="s">
        <v>1719</v>
      </c>
      <c r="D939" s="5" t="s">
        <v>1720</v>
      </c>
      <c r="E939" s="5"/>
      <c r="F939" s="8">
        <v>500000</v>
      </c>
      <c r="G939" s="8">
        <v>1500</v>
      </c>
      <c r="H939" s="5">
        <v>1000</v>
      </c>
      <c r="I939" s="5" t="s">
        <v>2655</v>
      </c>
      <c r="J939" s="5" t="s">
        <v>2751</v>
      </c>
    </row>
    <row r="940" spans="1:10" ht="409.6" x14ac:dyDescent="0.3">
      <c r="A940" s="5" t="str">
        <f>HYPERLINK("https://grants.gov/search-results-detail/348870","USDA-RHS-CFDG-2023")</f>
        <v>USDA-RHS-CFDG-2023</v>
      </c>
      <c r="B940" s="5" t="s">
        <v>2226</v>
      </c>
      <c r="C940" s="5" t="s">
        <v>2227</v>
      </c>
      <c r="D940" s="5" t="s">
        <v>2228</v>
      </c>
      <c r="E940" s="5"/>
      <c r="F940" s="8">
        <v>10</v>
      </c>
      <c r="G940" s="8">
        <v>1</v>
      </c>
      <c r="H940" s="5">
        <v>30</v>
      </c>
      <c r="I940" s="5" t="s">
        <v>2229</v>
      </c>
      <c r="J940" s="5" t="s">
        <v>2230</v>
      </c>
    </row>
    <row r="941" spans="1:10" ht="409.6" x14ac:dyDescent="0.3">
      <c r="A941" s="5" t="str">
        <f>HYPERLINK("https://grants.gov/search-results-detail/357740","USDA-RMA-MULTI-RMEPP-25-NOFO0001419")</f>
        <v>USDA-RMA-MULTI-RMEPP-25-NOFO0001419</v>
      </c>
      <c r="B941" s="5" t="s">
        <v>452</v>
      </c>
      <c r="C941" s="5" t="s">
        <v>453</v>
      </c>
      <c r="D941" s="5" t="s">
        <v>454</v>
      </c>
      <c r="E941" s="6">
        <v>45727</v>
      </c>
      <c r="F941" s="8">
        <v>250000</v>
      </c>
      <c r="G941" s="8">
        <v>5000</v>
      </c>
      <c r="H941" s="5">
        <v>10</v>
      </c>
      <c r="I941" s="5" t="s">
        <v>328</v>
      </c>
      <c r="J941" s="5" t="s">
        <v>455</v>
      </c>
    </row>
    <row r="942" spans="1:10" ht="273.60000000000002" x14ac:dyDescent="0.3">
      <c r="A942" s="5" t="str">
        <f>HYPERLINK("https://grants.gov/search-results-detail/357929","RD-RUS-HECG25")</f>
        <v>RD-RUS-HECG25</v>
      </c>
      <c r="B942" s="5" t="s">
        <v>89</v>
      </c>
      <c r="C942" s="5" t="s">
        <v>27</v>
      </c>
      <c r="D942" s="5" t="s">
        <v>28</v>
      </c>
      <c r="E942" s="6">
        <v>45716</v>
      </c>
      <c r="F942" s="8">
        <v>3000000</v>
      </c>
      <c r="G942" s="8">
        <v>100000</v>
      </c>
      <c r="H942" s="5">
        <v>10</v>
      </c>
      <c r="I942" s="5" t="s">
        <v>694</v>
      </c>
      <c r="J942" s="5" t="s">
        <v>90</v>
      </c>
    </row>
    <row r="943" spans="1:10" ht="302.39999999999998" x14ac:dyDescent="0.3">
      <c r="A943" s="5" t="str">
        <f>HYPERLINK("https://grants.gov/search-results-detail/357913","RDRUS-25-DWS")</f>
        <v>RDRUS-25-DWS</v>
      </c>
      <c r="B943" s="5" t="s">
        <v>26</v>
      </c>
      <c r="C943" s="5" t="s">
        <v>27</v>
      </c>
      <c r="D943" s="5" t="s">
        <v>28</v>
      </c>
      <c r="E943" s="6">
        <v>45719</v>
      </c>
      <c r="F943" s="8">
        <v>0</v>
      </c>
      <c r="G943" s="8">
        <v>0</v>
      </c>
      <c r="H943" s="5">
        <v>10</v>
      </c>
      <c r="I943" s="5" t="s">
        <v>29</v>
      </c>
      <c r="J943" s="5" t="s">
        <v>30</v>
      </c>
    </row>
    <row r="944" spans="1:10" ht="288" x14ac:dyDescent="0.3">
      <c r="A944" s="5" t="str">
        <f>HYPERLINK("https://grants.gov/search-results-detail/358016","RUS-25-01-DLT")</f>
        <v>RUS-25-01-DLT</v>
      </c>
      <c r="B944" s="5" t="s">
        <v>598</v>
      </c>
      <c r="C944" s="5" t="s">
        <v>27</v>
      </c>
      <c r="D944" s="5" t="s">
        <v>28</v>
      </c>
      <c r="E944" s="6">
        <v>45722</v>
      </c>
      <c r="F944" s="8">
        <v>1000000</v>
      </c>
      <c r="G944" s="8">
        <v>50000</v>
      </c>
      <c r="H944" s="5">
        <v>75</v>
      </c>
      <c r="I944" s="5" t="s">
        <v>599</v>
      </c>
      <c r="J944" s="5" t="s">
        <v>600</v>
      </c>
    </row>
    <row r="945" spans="1:10" ht="409.6" x14ac:dyDescent="0.3">
      <c r="A945" s="5" t="str">
        <f>HYPERLINK("https://grants.gov/search-results-detail/348809","RD-RUS-CY22DISASTER")</f>
        <v>RD-RUS-CY22DISASTER</v>
      </c>
      <c r="B945" s="5" t="s">
        <v>2238</v>
      </c>
      <c r="C945" s="5" t="s">
        <v>27</v>
      </c>
      <c r="D945" s="5" t="s">
        <v>28</v>
      </c>
      <c r="E945" s="5"/>
      <c r="F945" s="8">
        <v>0</v>
      </c>
      <c r="G945" s="8">
        <v>0</v>
      </c>
      <c r="H945" s="5"/>
      <c r="I945" s="5" t="s">
        <v>2239</v>
      </c>
      <c r="J945" s="5" t="s">
        <v>2240</v>
      </c>
    </row>
    <row r="946" spans="1:10" ht="72" x14ac:dyDescent="0.3">
      <c r="A946" s="5" t="str">
        <f>HYPERLINK("https://grants.gov/search-results-detail/357852","25CS03")</f>
        <v>25CS03</v>
      </c>
      <c r="B946" s="5" t="s">
        <v>251</v>
      </c>
      <c r="C946" s="5" t="s">
        <v>252</v>
      </c>
      <c r="D946" s="5" t="s">
        <v>253</v>
      </c>
      <c r="E946" s="6">
        <v>45677</v>
      </c>
      <c r="F946" s="8">
        <v>200000</v>
      </c>
      <c r="G946" s="8">
        <v>0</v>
      </c>
      <c r="H946" s="5">
        <v>1</v>
      </c>
      <c r="I946" s="5" t="s">
        <v>254</v>
      </c>
      <c r="J946" s="5" t="s">
        <v>255</v>
      </c>
    </row>
    <row r="947" spans="1:10" ht="158.4" x14ac:dyDescent="0.3">
      <c r="A947" s="5" t="str">
        <f>HYPERLINK("https://grants.gov/search-results-detail/357953","O-BJA-2025-172297")</f>
        <v>O-BJA-2025-172297</v>
      </c>
      <c r="B947" s="5" t="s">
        <v>52</v>
      </c>
      <c r="C947" s="5" t="s">
        <v>53</v>
      </c>
      <c r="D947" s="5" t="s">
        <v>54</v>
      </c>
      <c r="E947" s="6">
        <v>45712</v>
      </c>
      <c r="F947" s="8">
        <v>1750000</v>
      </c>
      <c r="G947" s="8">
        <v>0</v>
      </c>
      <c r="H947" s="5">
        <v>1</v>
      </c>
      <c r="I947" s="5" t="s">
        <v>328</v>
      </c>
      <c r="J947" s="5" t="s">
        <v>56</v>
      </c>
    </row>
    <row r="948" spans="1:10" ht="144" x14ac:dyDescent="0.3">
      <c r="A948" s="5" t="str">
        <f>HYPERLINK("https://grants.gov/search-results-detail/358138","O-BJA-2025-172326")</f>
        <v>O-BJA-2025-172326</v>
      </c>
      <c r="B948" s="5" t="s">
        <v>444</v>
      </c>
      <c r="C948" s="5" t="s">
        <v>53</v>
      </c>
      <c r="D948" s="5" t="s">
        <v>54</v>
      </c>
      <c r="E948" s="6">
        <v>45720</v>
      </c>
      <c r="F948" s="8">
        <v>2000000</v>
      </c>
      <c r="G948" s="8">
        <v>0</v>
      </c>
      <c r="H948" s="5">
        <v>1</v>
      </c>
      <c r="I948" s="5" t="s">
        <v>445</v>
      </c>
      <c r="J948" s="5" t="s">
        <v>446</v>
      </c>
    </row>
    <row r="949" spans="1:10" ht="158.4" x14ac:dyDescent="0.3">
      <c r="A949" s="5" t="str">
        <f>HYPERLINK("https://grants.gov/search-results-detail/358134","O-BJA-2025-172324")</f>
        <v>O-BJA-2025-172324</v>
      </c>
      <c r="B949" s="5" t="s">
        <v>482</v>
      </c>
      <c r="C949" s="5" t="s">
        <v>53</v>
      </c>
      <c r="D949" s="5" t="s">
        <v>54</v>
      </c>
      <c r="E949" s="6">
        <v>45720</v>
      </c>
      <c r="F949" s="8">
        <v>2000000</v>
      </c>
      <c r="G949" s="8">
        <v>0</v>
      </c>
      <c r="H949" s="5">
        <v>1</v>
      </c>
      <c r="I949" s="5" t="s">
        <v>304</v>
      </c>
      <c r="J949" s="5" t="s">
        <v>483</v>
      </c>
    </row>
    <row r="950" spans="1:10" ht="172.8" x14ac:dyDescent="0.3">
      <c r="A950" s="5" t="str">
        <f>HYPERLINK("https://grants.gov/search-results-detail/358132","O-BJA-2025-172319")</f>
        <v>O-BJA-2025-172319</v>
      </c>
      <c r="B950" s="5" t="s">
        <v>484</v>
      </c>
      <c r="C950" s="5" t="s">
        <v>53</v>
      </c>
      <c r="D950" s="5" t="s">
        <v>54</v>
      </c>
      <c r="E950" s="6">
        <v>45720</v>
      </c>
      <c r="F950" s="8">
        <v>1000000</v>
      </c>
      <c r="G950" s="8">
        <v>0</v>
      </c>
      <c r="H950" s="5">
        <v>7</v>
      </c>
      <c r="I950" s="5" t="s">
        <v>485</v>
      </c>
      <c r="J950" s="5" t="s">
        <v>486</v>
      </c>
    </row>
    <row r="951" spans="1:10" ht="187.2" x14ac:dyDescent="0.3">
      <c r="A951" s="5" t="str">
        <f>HYPERLINK("https://grants.gov/search-results-detail/358044","O-BJA-2025-172308")</f>
        <v>O-BJA-2025-172308</v>
      </c>
      <c r="B951" s="5" t="s">
        <v>543</v>
      </c>
      <c r="C951" s="5" t="s">
        <v>53</v>
      </c>
      <c r="D951" s="5" t="s">
        <v>54</v>
      </c>
      <c r="E951" s="6">
        <v>45728</v>
      </c>
      <c r="F951" s="8">
        <v>4000000</v>
      </c>
      <c r="G951" s="8">
        <v>0</v>
      </c>
      <c r="H951" s="5">
        <v>1</v>
      </c>
      <c r="I951" s="5" t="s">
        <v>304</v>
      </c>
      <c r="J951" s="5" t="s">
        <v>544</v>
      </c>
    </row>
    <row r="952" spans="1:10" ht="288" x14ac:dyDescent="0.3">
      <c r="A952" s="5" t="str">
        <f>HYPERLINK("https://grants.gov/search-results-detail/358054","O-BJA-2025-172310")</f>
        <v>O-BJA-2025-172310</v>
      </c>
      <c r="B952" s="5" t="s">
        <v>567</v>
      </c>
      <c r="C952" s="5" t="s">
        <v>53</v>
      </c>
      <c r="D952" s="5" t="s">
        <v>54</v>
      </c>
      <c r="E952" s="6">
        <v>45728</v>
      </c>
      <c r="F952" s="8">
        <v>1500000</v>
      </c>
      <c r="G952" s="8">
        <v>0</v>
      </c>
      <c r="H952" s="5">
        <v>3</v>
      </c>
      <c r="I952" s="5" t="s">
        <v>568</v>
      </c>
      <c r="J952" s="5" t="s">
        <v>569</v>
      </c>
    </row>
    <row r="953" spans="1:10" ht="360" x14ac:dyDescent="0.3">
      <c r="A953" s="5" t="str">
        <f>HYPERLINK("https://grants.gov/search-results-detail/357856","O-BJA-2025-172288")</f>
        <v>O-BJA-2025-172288</v>
      </c>
      <c r="B953" s="5" t="s">
        <v>271</v>
      </c>
      <c r="C953" s="5" t="s">
        <v>53</v>
      </c>
      <c r="D953" s="5" t="s">
        <v>54</v>
      </c>
      <c r="E953" s="6">
        <v>45734</v>
      </c>
      <c r="F953" s="8">
        <v>5600000</v>
      </c>
      <c r="G953" s="8">
        <v>0</v>
      </c>
      <c r="H953" s="5"/>
      <c r="I953" s="5" t="s">
        <v>272</v>
      </c>
      <c r="J953" s="5" t="s">
        <v>273</v>
      </c>
    </row>
    <row r="954" spans="1:10" ht="201.6" x14ac:dyDescent="0.3">
      <c r="A954" s="5" t="str">
        <f>HYPERLINK("https://grants.gov/search-results-detail/358135","O-BJA-2025-172325")</f>
        <v>O-BJA-2025-172325</v>
      </c>
      <c r="B954" s="5" t="s">
        <v>487</v>
      </c>
      <c r="C954" s="5" t="s">
        <v>53</v>
      </c>
      <c r="D954" s="5" t="s">
        <v>54</v>
      </c>
      <c r="E954" s="6">
        <v>45750</v>
      </c>
      <c r="F954" s="8">
        <v>550000</v>
      </c>
      <c r="G954" s="8">
        <v>0</v>
      </c>
      <c r="H954" s="5">
        <v>25</v>
      </c>
      <c r="I954" s="5" t="s">
        <v>488</v>
      </c>
      <c r="J954" s="5" t="s">
        <v>489</v>
      </c>
    </row>
    <row r="955" spans="1:10" ht="172.8" x14ac:dyDescent="0.3">
      <c r="A955" s="5" t="str">
        <f>HYPERLINK("https://grants.gov/search-results-detail/358140","O-NIJ-2025-172317")</f>
        <v>O-NIJ-2025-172317</v>
      </c>
      <c r="B955" s="5" t="s">
        <v>441</v>
      </c>
      <c r="C955" s="5" t="s">
        <v>419</v>
      </c>
      <c r="D955" s="5" t="s">
        <v>420</v>
      </c>
      <c r="E955" s="6">
        <v>45720</v>
      </c>
      <c r="F955" s="8">
        <v>2500000</v>
      </c>
      <c r="G955" s="8">
        <v>0</v>
      </c>
      <c r="H955" s="5"/>
      <c r="I955" s="5" t="s">
        <v>442</v>
      </c>
      <c r="J955" s="5" t="s">
        <v>443</v>
      </c>
    </row>
    <row r="956" spans="1:10" ht="115.2" x14ac:dyDescent="0.3">
      <c r="A956" s="5" t="str">
        <f>HYPERLINK("https://grants.gov/search-results-detail/357991","O-NIJ-2025-172299")</f>
        <v>O-NIJ-2025-172299</v>
      </c>
      <c r="B956" s="5" t="s">
        <v>662</v>
      </c>
      <c r="C956" s="5" t="s">
        <v>419</v>
      </c>
      <c r="D956" s="5" t="s">
        <v>420</v>
      </c>
      <c r="E956" s="6">
        <v>45736</v>
      </c>
      <c r="F956" s="8">
        <v>5000000</v>
      </c>
      <c r="G956" s="8">
        <v>0</v>
      </c>
      <c r="H956" s="5"/>
      <c r="I956" s="5" t="s">
        <v>663</v>
      </c>
      <c r="J956" s="5" t="s">
        <v>664</v>
      </c>
    </row>
    <row r="957" spans="1:10" ht="129.6" x14ac:dyDescent="0.3">
      <c r="A957" s="5" t="str">
        <f>HYPERLINK("https://grants.gov/search-results-detail/357998","O-NIJ-2025-172300")</f>
        <v>O-NIJ-2025-172300</v>
      </c>
      <c r="B957" s="5" t="s">
        <v>673</v>
      </c>
      <c r="C957" s="5" t="s">
        <v>419</v>
      </c>
      <c r="D957" s="5" t="s">
        <v>420</v>
      </c>
      <c r="E957" s="6">
        <v>45736</v>
      </c>
      <c r="F957" s="8">
        <v>4000000</v>
      </c>
      <c r="G957" s="8">
        <v>0</v>
      </c>
      <c r="H957" s="5"/>
      <c r="I957" s="5" t="s">
        <v>674</v>
      </c>
      <c r="J957" s="5" t="s">
        <v>675</v>
      </c>
    </row>
    <row r="958" spans="1:10" ht="230.4" x14ac:dyDescent="0.3">
      <c r="A958" s="5" t="str">
        <f>HYPERLINK("https://grants.gov/search-results-detail/358057","O-NIJ-2025-172311")</f>
        <v>O-NIJ-2025-172311</v>
      </c>
      <c r="B958" s="5" t="s">
        <v>575</v>
      </c>
      <c r="C958" s="5" t="s">
        <v>419</v>
      </c>
      <c r="D958" s="5" t="s">
        <v>420</v>
      </c>
      <c r="E958" s="6">
        <v>45740</v>
      </c>
      <c r="F958" s="8">
        <v>2500000</v>
      </c>
      <c r="G958" s="8">
        <v>0</v>
      </c>
      <c r="H958" s="5"/>
      <c r="I958" s="5" t="s">
        <v>576</v>
      </c>
      <c r="J958" s="5" t="s">
        <v>577</v>
      </c>
    </row>
    <row r="959" spans="1:10" ht="244.8" x14ac:dyDescent="0.3">
      <c r="A959" s="5" t="str">
        <f>HYPERLINK("https://grants.gov/search-results-detail/358034","O-NIJ-2025-172306")</f>
        <v>O-NIJ-2025-172306</v>
      </c>
      <c r="B959" s="5" t="s">
        <v>639</v>
      </c>
      <c r="C959" s="5" t="s">
        <v>419</v>
      </c>
      <c r="D959" s="5" t="s">
        <v>420</v>
      </c>
      <c r="E959" s="6">
        <v>45740</v>
      </c>
      <c r="F959" s="8">
        <v>1600000</v>
      </c>
      <c r="G959" s="8">
        <v>0</v>
      </c>
      <c r="H959" s="5"/>
      <c r="I959" s="5" t="s">
        <v>304</v>
      </c>
      <c r="J959" s="5" t="s">
        <v>640</v>
      </c>
    </row>
    <row r="960" spans="1:10" ht="288" x14ac:dyDescent="0.3">
      <c r="A960" s="5" t="str">
        <f>HYPERLINK("https://grants.gov/search-results-detail/358112","O-NIJ-2025-172322")</f>
        <v>O-NIJ-2025-172322</v>
      </c>
      <c r="B960" s="5" t="s">
        <v>459</v>
      </c>
      <c r="C960" s="5" t="s">
        <v>419</v>
      </c>
      <c r="D960" s="5" t="s">
        <v>420</v>
      </c>
      <c r="E960" s="6">
        <v>45743</v>
      </c>
      <c r="F960" s="8">
        <v>2000000</v>
      </c>
      <c r="G960" s="8">
        <v>0</v>
      </c>
      <c r="H960" s="5"/>
      <c r="I960" s="5" t="s">
        <v>460</v>
      </c>
      <c r="J960" s="5" t="s">
        <v>461</v>
      </c>
    </row>
    <row r="961" spans="1:10" ht="230.4" x14ac:dyDescent="0.3">
      <c r="A961" s="5" t="str">
        <f>HYPERLINK("https://grants.gov/search-results-detail/358131","O-NIJ-2025-172328")</f>
        <v>O-NIJ-2025-172328</v>
      </c>
      <c r="B961" s="5" t="s">
        <v>479</v>
      </c>
      <c r="C961" s="5" t="s">
        <v>419</v>
      </c>
      <c r="D961" s="5" t="s">
        <v>420</v>
      </c>
      <c r="E961" s="6">
        <v>45743</v>
      </c>
      <c r="F961" s="8">
        <v>1200000</v>
      </c>
      <c r="G961" s="8">
        <v>0</v>
      </c>
      <c r="H961" s="5"/>
      <c r="I961" s="5" t="s">
        <v>480</v>
      </c>
      <c r="J961" s="5" t="s">
        <v>481</v>
      </c>
    </row>
    <row r="962" spans="1:10" ht="172.8" x14ac:dyDescent="0.3">
      <c r="A962" s="5" t="str">
        <f>HYPERLINK("https://grants.gov/search-results-detail/358109","O-NIJ-2025-172321")</f>
        <v>O-NIJ-2025-172321</v>
      </c>
      <c r="B962" s="5" t="s">
        <v>418</v>
      </c>
      <c r="C962" s="5" t="s">
        <v>419</v>
      </c>
      <c r="D962" s="5" t="s">
        <v>420</v>
      </c>
      <c r="E962" s="6">
        <v>45747</v>
      </c>
      <c r="F962" s="8">
        <v>2000000</v>
      </c>
      <c r="G962" s="8">
        <v>0</v>
      </c>
      <c r="H962" s="5"/>
      <c r="I962" s="5" t="s">
        <v>421</v>
      </c>
      <c r="J962" s="5" t="s">
        <v>422</v>
      </c>
    </row>
    <row r="963" spans="1:10" ht="259.2" x14ac:dyDescent="0.3">
      <c r="A963" s="5" t="str">
        <f>HYPERLINK("https://grants.gov/search-results-detail/358142","O-NIJ-2025-172329")</f>
        <v>O-NIJ-2025-172329</v>
      </c>
      <c r="B963" s="5" t="s">
        <v>490</v>
      </c>
      <c r="C963" s="5" t="s">
        <v>419</v>
      </c>
      <c r="D963" s="5" t="s">
        <v>420</v>
      </c>
      <c r="E963" s="6">
        <v>45748</v>
      </c>
      <c r="F963" s="8">
        <v>1500000</v>
      </c>
      <c r="G963" s="8">
        <v>0</v>
      </c>
      <c r="H963" s="5"/>
      <c r="I963" s="5" t="s">
        <v>491</v>
      </c>
      <c r="J963" s="5" t="s">
        <v>492</v>
      </c>
    </row>
    <row r="964" spans="1:10" ht="158.4" x14ac:dyDescent="0.3">
      <c r="A964" s="5" t="str">
        <f>HYPERLINK("https://grants.gov/search-results-detail/358055","O-NIJ-2025-172312")</f>
        <v>O-NIJ-2025-172312</v>
      </c>
      <c r="B964" s="5" t="s">
        <v>570</v>
      </c>
      <c r="C964" s="5" t="s">
        <v>419</v>
      </c>
      <c r="D964" s="5" t="s">
        <v>420</v>
      </c>
      <c r="E964" s="6">
        <v>45762</v>
      </c>
      <c r="F964" s="8">
        <v>180000</v>
      </c>
      <c r="G964" s="8">
        <v>0</v>
      </c>
      <c r="H964" s="5"/>
      <c r="I964" s="5" t="s">
        <v>328</v>
      </c>
      <c r="J964" s="5" t="s">
        <v>571</v>
      </c>
    </row>
    <row r="965" spans="1:10" ht="86.4" x14ac:dyDescent="0.3">
      <c r="A965" s="5" t="str">
        <f>HYPERLINK("https://grants.gov/search-results-detail/358031","O-NIJ-2025-172305")</f>
        <v>O-NIJ-2025-172305</v>
      </c>
      <c r="B965" s="5" t="s">
        <v>641</v>
      </c>
      <c r="C965" s="5" t="s">
        <v>419</v>
      </c>
      <c r="D965" s="5" t="s">
        <v>420</v>
      </c>
      <c r="E965" s="6">
        <v>45762</v>
      </c>
      <c r="F965" s="8">
        <v>3000000</v>
      </c>
      <c r="G965" s="8">
        <v>0</v>
      </c>
      <c r="H965" s="5"/>
      <c r="I965" s="5" t="s">
        <v>642</v>
      </c>
      <c r="J965" s="5" t="s">
        <v>643</v>
      </c>
    </row>
    <row r="966" spans="1:10" ht="72" x14ac:dyDescent="0.3">
      <c r="A966" s="5" t="str">
        <f>HYPERLINK("https://grants.gov/search-results-detail/357758","O-OJJDP-2025-172278")</f>
        <v>O-OJJDP-2025-172278</v>
      </c>
      <c r="B966" s="5" t="s">
        <v>354</v>
      </c>
      <c r="C966" s="5" t="s">
        <v>197</v>
      </c>
      <c r="D966" s="5" t="s">
        <v>198</v>
      </c>
      <c r="E966" s="6">
        <v>45692</v>
      </c>
      <c r="F966" s="8">
        <v>900000</v>
      </c>
      <c r="G966" s="8">
        <v>0</v>
      </c>
      <c r="H966" s="5">
        <v>1</v>
      </c>
      <c r="I966" s="5" t="s">
        <v>775</v>
      </c>
      <c r="J966" s="5" t="s">
        <v>355</v>
      </c>
    </row>
    <row r="967" spans="1:10" ht="144" x14ac:dyDescent="0.3">
      <c r="A967" s="5" t="str">
        <f>HYPERLINK("https://grants.gov/search-results-detail/357873","O-OJJDP-2025-172279")</f>
        <v>O-OJJDP-2025-172279</v>
      </c>
      <c r="B967" s="5" t="s">
        <v>196</v>
      </c>
      <c r="C967" s="5" t="s">
        <v>197</v>
      </c>
      <c r="D967" s="5" t="s">
        <v>198</v>
      </c>
      <c r="E967" s="6">
        <v>45693</v>
      </c>
      <c r="F967" s="8">
        <v>400000</v>
      </c>
      <c r="G967" s="8">
        <v>0</v>
      </c>
      <c r="H967" s="5">
        <v>4</v>
      </c>
      <c r="I967" s="5" t="s">
        <v>199</v>
      </c>
      <c r="J967" s="5" t="s">
        <v>200</v>
      </c>
    </row>
    <row r="968" spans="1:10" ht="115.2" x14ac:dyDescent="0.3">
      <c r="A968" s="5" t="str">
        <f>HYPERLINK("https://grants.gov/search-results-detail/357783","O-OJJDP-2025-172286")</f>
        <v>O-OJJDP-2025-172286</v>
      </c>
      <c r="B968" s="5" t="s">
        <v>312</v>
      </c>
      <c r="C968" s="5" t="s">
        <v>197</v>
      </c>
      <c r="D968" s="5" t="s">
        <v>198</v>
      </c>
      <c r="E968" s="6">
        <v>45694</v>
      </c>
      <c r="F968" s="8">
        <v>750000</v>
      </c>
      <c r="G968" s="8">
        <v>0</v>
      </c>
      <c r="H968" s="5">
        <v>5</v>
      </c>
      <c r="I968" s="5" t="s">
        <v>760</v>
      </c>
      <c r="J968" s="5" t="s">
        <v>313</v>
      </c>
    </row>
    <row r="969" spans="1:10" ht="172.8" x14ac:dyDescent="0.3">
      <c r="A969" s="5" t="str">
        <f>HYPERLINK("https://grants.gov/search-results-detail/358046","O-OJJDP-2025-172277")</f>
        <v>O-OJJDP-2025-172277</v>
      </c>
      <c r="B969" s="5" t="s">
        <v>548</v>
      </c>
      <c r="C969" s="5" t="s">
        <v>197</v>
      </c>
      <c r="D969" s="5" t="s">
        <v>198</v>
      </c>
      <c r="E969" s="6">
        <v>45712</v>
      </c>
      <c r="F969" s="8">
        <v>800000</v>
      </c>
      <c r="G969" s="8">
        <v>0</v>
      </c>
      <c r="H969" s="5">
        <v>18</v>
      </c>
      <c r="I969" s="5" t="s">
        <v>549</v>
      </c>
      <c r="J969" s="5" t="s">
        <v>550</v>
      </c>
    </row>
    <row r="970" spans="1:10" ht="72" x14ac:dyDescent="0.3">
      <c r="A970" s="5" t="str">
        <f>HYPERLINK("https://grants.gov/search-results-detail/358058","O-OJJDP-2025-172314")</f>
        <v>O-OJJDP-2025-172314</v>
      </c>
      <c r="B970" s="5" t="s">
        <v>578</v>
      </c>
      <c r="C970" s="5" t="s">
        <v>197</v>
      </c>
      <c r="D970" s="5" t="s">
        <v>198</v>
      </c>
      <c r="E970" s="6">
        <v>45712</v>
      </c>
      <c r="F970" s="8">
        <v>4000000</v>
      </c>
      <c r="G970" s="8">
        <v>0</v>
      </c>
      <c r="H970" s="5">
        <v>15</v>
      </c>
      <c r="I970" s="5" t="s">
        <v>579</v>
      </c>
      <c r="J970" s="5" t="s">
        <v>580</v>
      </c>
    </row>
    <row r="971" spans="1:10" ht="144" x14ac:dyDescent="0.3">
      <c r="A971" s="5" t="str">
        <f>HYPERLINK("https://grants.gov/search-results-detail/357429","O-OVW-2025-172266")</f>
        <v>O-OVW-2025-172266</v>
      </c>
      <c r="B971" s="5" t="s">
        <v>1259</v>
      </c>
      <c r="C971" s="5" t="s">
        <v>22</v>
      </c>
      <c r="D971" s="5" t="s">
        <v>23</v>
      </c>
      <c r="E971" s="6">
        <v>45674</v>
      </c>
      <c r="F971" s="8">
        <v>700000</v>
      </c>
      <c r="G971" s="8">
        <v>600000</v>
      </c>
      <c r="H971" s="5">
        <v>20</v>
      </c>
      <c r="I971" s="5" t="s">
        <v>1260</v>
      </c>
      <c r="J971" s="5" t="s">
        <v>1261</v>
      </c>
    </row>
    <row r="972" spans="1:10" ht="172.8" x14ac:dyDescent="0.3">
      <c r="A972" s="5" t="str">
        <f>HYPERLINK("https://grants.gov/search-results-detail/357575","O-OVW-2025-172270")</f>
        <v>O-OVW-2025-172270</v>
      </c>
      <c r="B972" s="5" t="s">
        <v>1003</v>
      </c>
      <c r="C972" s="5" t="s">
        <v>22</v>
      </c>
      <c r="D972" s="5" t="s">
        <v>23</v>
      </c>
      <c r="E972" s="6">
        <v>45685</v>
      </c>
      <c r="F972" s="8">
        <v>750000</v>
      </c>
      <c r="G972" s="8">
        <v>400000</v>
      </c>
      <c r="H972" s="5">
        <v>16</v>
      </c>
      <c r="I972" s="5" t="s">
        <v>1004</v>
      </c>
      <c r="J972" s="5" t="s">
        <v>1005</v>
      </c>
    </row>
    <row r="973" spans="1:10" ht="172.8" x14ac:dyDescent="0.3">
      <c r="A973" s="5" t="str">
        <f>HYPERLINK("https://grants.gov/search-results-detail/357577","O-OVW-2025-172269")</f>
        <v>O-OVW-2025-172269</v>
      </c>
      <c r="B973" s="5" t="s">
        <v>1047</v>
      </c>
      <c r="C973" s="5" t="s">
        <v>22</v>
      </c>
      <c r="D973" s="5" t="s">
        <v>23</v>
      </c>
      <c r="E973" s="6">
        <v>45685</v>
      </c>
      <c r="F973" s="8">
        <v>900000</v>
      </c>
      <c r="G973" s="8">
        <v>600000</v>
      </c>
      <c r="H973" s="5">
        <v>46</v>
      </c>
      <c r="I973" s="5" t="s">
        <v>1048</v>
      </c>
      <c r="J973" s="5" t="s">
        <v>1049</v>
      </c>
    </row>
    <row r="974" spans="1:10" ht="409.6" x14ac:dyDescent="0.3">
      <c r="A974" s="5" t="str">
        <f>HYPERLINK("https://grants.gov/search-results-detail/358001","O-OVW-2025-172273")</f>
        <v>O-OVW-2025-172273</v>
      </c>
      <c r="B974" s="5" t="s">
        <v>679</v>
      </c>
      <c r="C974" s="5" t="s">
        <v>22</v>
      </c>
      <c r="D974" s="5" t="s">
        <v>23</v>
      </c>
      <c r="E974" s="6">
        <v>45720</v>
      </c>
      <c r="F974" s="8">
        <v>5000000</v>
      </c>
      <c r="G974" s="8">
        <v>350000</v>
      </c>
      <c r="H974" s="5">
        <v>9</v>
      </c>
      <c r="I974" s="5" t="s">
        <v>680</v>
      </c>
      <c r="J974" s="5" t="s">
        <v>681</v>
      </c>
    </row>
    <row r="975" spans="1:10" ht="187.2" x14ac:dyDescent="0.3">
      <c r="A975" s="5" t="str">
        <f>HYPERLINK("https://grants.gov/search-results-detail/357973","O-OVW-2025-172275")</f>
        <v>O-OVW-2025-172275</v>
      </c>
      <c r="B975" s="5" t="s">
        <v>21</v>
      </c>
      <c r="C975" s="5" t="s">
        <v>22</v>
      </c>
      <c r="D975" s="5" t="s">
        <v>23</v>
      </c>
      <c r="E975" s="6">
        <v>45720</v>
      </c>
      <c r="F975" s="8">
        <v>750000</v>
      </c>
      <c r="G975" s="8">
        <v>450000</v>
      </c>
      <c r="H975" s="5">
        <v>25</v>
      </c>
      <c r="I975" s="5" t="s">
        <v>24</v>
      </c>
      <c r="J975" s="5" t="s">
        <v>25</v>
      </c>
    </row>
    <row r="976" spans="1:10" ht="86.4" x14ac:dyDescent="0.3">
      <c r="A976" s="5" t="str">
        <f>HYPERLINK("https://grants.gov/search-results-detail/358070","O-OVW-2025-172272")</f>
        <v>O-OVW-2025-172272</v>
      </c>
      <c r="B976" s="5" t="s">
        <v>504</v>
      </c>
      <c r="C976" s="5" t="s">
        <v>22</v>
      </c>
      <c r="D976" s="5" t="s">
        <v>23</v>
      </c>
      <c r="E976" s="6">
        <v>45755</v>
      </c>
      <c r="F976" s="8">
        <v>1200000</v>
      </c>
      <c r="G976" s="8">
        <v>400000</v>
      </c>
      <c r="H976" s="5">
        <v>50</v>
      </c>
      <c r="I976" s="5" t="s">
        <v>505</v>
      </c>
      <c r="J976" s="5" t="s">
        <v>506</v>
      </c>
    </row>
    <row r="977" spans="1:10" ht="409.6" x14ac:dyDescent="0.3">
      <c r="A977" s="5" t="str">
        <f>HYPERLINK("https://grants.gov/search-results-detail/358083","O-SMART-2025-172309")</f>
        <v>O-SMART-2025-172309</v>
      </c>
      <c r="B977" s="5" t="s">
        <v>507</v>
      </c>
      <c r="C977" s="5" t="s">
        <v>508</v>
      </c>
      <c r="D977" s="5" t="s">
        <v>509</v>
      </c>
      <c r="E977" s="6">
        <v>45712</v>
      </c>
      <c r="F977" s="8">
        <v>1000000</v>
      </c>
      <c r="G977" s="8">
        <v>1</v>
      </c>
      <c r="H977" s="5">
        <v>1</v>
      </c>
      <c r="I977" s="5" t="s">
        <v>510</v>
      </c>
      <c r="J977" s="5" t="s">
        <v>511</v>
      </c>
    </row>
    <row r="978" spans="1:10" ht="57.6" x14ac:dyDescent="0.3">
      <c r="A978" s="5" t="str">
        <f>HYPERLINK("https://grants.gov/search-results-detail/333825","36C78621R0028")</f>
        <v>36C78621R0028</v>
      </c>
      <c r="B978" s="5" t="s">
        <v>2495</v>
      </c>
      <c r="C978" s="5" t="s">
        <v>2496</v>
      </c>
      <c r="D978" s="5" t="s">
        <v>2497</v>
      </c>
      <c r="E978" s="5"/>
      <c r="F978" s="8">
        <v>2200000</v>
      </c>
      <c r="G978" s="8">
        <v>0</v>
      </c>
      <c r="H978" s="5">
        <v>10</v>
      </c>
      <c r="I978" s="5" t="s">
        <v>2498</v>
      </c>
      <c r="J978" s="5" t="s">
        <v>2499</v>
      </c>
    </row>
  </sheetData>
  <sortState xmlns:xlrd2="http://schemas.microsoft.com/office/spreadsheetml/2017/richdata2" ref="A3:J978">
    <sortCondition ref="C3:C978"/>
    <sortCondition ref="E3:E978"/>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all_federal_opps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dc:creator>
  <cp:lastModifiedBy>Navarro, Lucas (S&amp;T-Student)</cp:lastModifiedBy>
  <dcterms:created xsi:type="dcterms:W3CDTF">2025-01-13T05:09:38Z</dcterms:created>
  <dcterms:modified xsi:type="dcterms:W3CDTF">2025-01-13T05:27:49Z</dcterms:modified>
</cp:coreProperties>
</file>